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incide1-my.sharepoint.com/personal/sistemas_incide_com_co/Documents/Publica/CALIDAD/1. HABILITACION/1. HABILITACION INCIDE/Condiciones tecnológicas y científicas/8. SIAU/ASOCIACION DE USUARIOS/2023/Ejecución plan de acción 2023/"/>
    </mc:Choice>
  </mc:AlternateContent>
  <xr:revisionPtr revIDLastSave="151" documentId="13_ncr:1_{6F26F596-8E47-4D96-BA1C-7CE517943574}" xr6:coauthVersionLast="47" xr6:coauthVersionMax="47" xr10:uidLastSave="{E1C69F22-500C-4915-9E5B-3CC90CD22899}"/>
  <bookViews>
    <workbookView xWindow="-108" yWindow="-108" windowWidth="23256" windowHeight="12456" xr2:uid="{00000000-000D-0000-FFFF-FFFF00000000}"/>
  </bookViews>
  <sheets>
    <sheet name="1. Presupuesto" sheetId="3" r:id="rId1"/>
    <sheet name="2. Presupuesto" sheetId="7" state="hidden" r:id="rId2"/>
    <sheet name=" 2.flujo de caja por mes (2)" sheetId="6" state="hidden" r:id="rId3"/>
  </sheets>
  <externalReferences>
    <externalReference r:id="rId4"/>
    <externalReference r:id="rId5"/>
  </externalReferences>
  <definedNames>
    <definedName name="_xlnm.Print_Area" localSheetId="2">' 2.flujo de caja por mes (2)'!$A$1:$AL$93</definedName>
    <definedName name="_xlnm.Print_Area" localSheetId="0">'1. Presupuesto'!$A$1:$A$12</definedName>
    <definedName name="_xlnm.Print_Area" localSheetId="1">'2. Presupuesto'!$A$1:$AM$71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3" l="1"/>
  <c r="D11" i="3" s="1"/>
  <c r="B20" i="3"/>
  <c r="C19" i="3"/>
  <c r="D19" i="3" s="1"/>
  <c r="C14" i="3"/>
  <c r="C18" i="3"/>
  <c r="C17" i="3"/>
  <c r="C13" i="3"/>
  <c r="C10" i="3" l="1"/>
  <c r="C9" i="3"/>
  <c r="D9" i="3" s="1"/>
  <c r="D14" i="3"/>
  <c r="D15" i="3"/>
  <c r="D17" i="3"/>
  <c r="D18" i="3"/>
  <c r="C20" i="3" l="1"/>
  <c r="D20" i="3" s="1"/>
  <c r="D10" i="3"/>
  <c r="D13" i="3"/>
  <c r="I73" i="7" l="1"/>
  <c r="J73" i="7" s="1"/>
  <c r="I65" i="7"/>
  <c r="J64" i="7"/>
  <c r="J60" i="7"/>
  <c r="I56" i="7"/>
  <c r="I55" i="7"/>
  <c r="K41" i="7"/>
  <c r="K40" i="7"/>
  <c r="I39" i="7"/>
  <c r="K39" i="7" s="1"/>
  <c r="K38" i="7"/>
  <c r="K37" i="7"/>
  <c r="J36" i="7"/>
  <c r="K36" i="7" s="1"/>
  <c r="I33" i="7"/>
  <c r="K33" i="7" s="1"/>
  <c r="K32" i="7"/>
  <c r="K28" i="7"/>
  <c r="K23" i="7"/>
  <c r="I21" i="7"/>
  <c r="K21" i="7" s="1"/>
  <c r="K20" i="7"/>
  <c r="J8" i="7"/>
  <c r="J11" i="7" s="1"/>
  <c r="I8" i="7"/>
  <c r="H76" i="7" l="1"/>
  <c r="F73" i="7"/>
  <c r="G73" i="7"/>
  <c r="G64" i="7"/>
  <c r="G60" i="7"/>
  <c r="G40" i="7"/>
  <c r="G36" i="7"/>
  <c r="C22" i="7" l="1"/>
  <c r="I22" i="7" s="1"/>
  <c r="K22" i="7" s="1"/>
  <c r="C19" i="7"/>
  <c r="I19" i="7" s="1"/>
  <c r="K19" i="7" s="1"/>
  <c r="C18" i="7"/>
  <c r="I18" i="7" s="1"/>
  <c r="C17" i="7"/>
  <c r="I17" i="7" s="1"/>
  <c r="C16" i="7"/>
  <c r="I16" i="7" s="1"/>
  <c r="K16" i="7" s="1"/>
  <c r="C15" i="7"/>
  <c r="I15" i="7" s="1"/>
  <c r="K15" i="7" s="1"/>
  <c r="D77" i="7"/>
  <c r="D64" i="7"/>
  <c r="D8" i="7"/>
  <c r="F39" i="7" l="1"/>
  <c r="F35" i="7"/>
  <c r="F33" i="7"/>
  <c r="C41" i="7"/>
  <c r="C37" i="7"/>
  <c r="C35" i="7"/>
  <c r="I35" i="7" s="1"/>
  <c r="K35" i="7" s="1"/>
  <c r="C34" i="7"/>
  <c r="I34" i="7" s="1"/>
  <c r="K34" i="7" s="1"/>
  <c r="C31" i="7"/>
  <c r="I31" i="7" s="1"/>
  <c r="K31" i="7" s="1"/>
  <c r="C30" i="7"/>
  <c r="I30" i="7" s="1"/>
  <c r="K30" i="7" s="1"/>
  <c r="C29" i="7"/>
  <c r="I29" i="7" s="1"/>
  <c r="K29" i="7" s="1"/>
  <c r="C26" i="7"/>
  <c r="I26" i="7" s="1"/>
  <c r="K26" i="7" s="1"/>
  <c r="F31" i="7" l="1"/>
  <c r="F26" i="7"/>
  <c r="F29" i="7"/>
  <c r="F34" i="7"/>
  <c r="F30" i="7"/>
  <c r="G8" i="7"/>
  <c r="AA8" i="7" l="1"/>
  <c r="AJ9" i="7"/>
  <c r="AC8" i="7"/>
  <c r="X8" i="7"/>
  <c r="U8" i="7"/>
  <c r="R8" i="7"/>
  <c r="R22" i="7"/>
  <c r="U22" i="7"/>
  <c r="AU80" i="7"/>
  <c r="AU79" i="7"/>
  <c r="AK79" i="7"/>
  <c r="AU78" i="7"/>
  <c r="AT78" i="7"/>
  <c r="AJ78" i="7"/>
  <c r="AL78" i="7" s="1"/>
  <c r="AH78" i="7"/>
  <c r="AH79" i="7" s="1"/>
  <c r="AG78" i="7"/>
  <c r="AE78" i="7"/>
  <c r="AE79" i="7" s="1"/>
  <c r="AD78" i="7"/>
  <c r="AF78" i="7" s="1"/>
  <c r="AB78" i="7"/>
  <c r="AA78" i="7"/>
  <c r="Y78" i="7"/>
  <c r="X78" i="7"/>
  <c r="V78" i="7"/>
  <c r="U78" i="7"/>
  <c r="S78" i="7"/>
  <c r="R78" i="7"/>
  <c r="T78" i="7" s="1"/>
  <c r="P78" i="7"/>
  <c r="Q78" i="7" s="1"/>
  <c r="M78" i="7"/>
  <c r="J78" i="7"/>
  <c r="I78" i="7"/>
  <c r="G78" i="7"/>
  <c r="B78" i="7"/>
  <c r="B79" i="7" s="1"/>
  <c r="AU77" i="7"/>
  <c r="AT77" i="7"/>
  <c r="AN77" i="7"/>
  <c r="N77" i="7"/>
  <c r="C77" i="7"/>
  <c r="E77" i="7" s="1"/>
  <c r="AM76" i="7"/>
  <c r="AU75" i="7"/>
  <c r="AT75" i="7"/>
  <c r="AN75" i="7"/>
  <c r="AM75" i="7"/>
  <c r="W75" i="7"/>
  <c r="AU74" i="7"/>
  <c r="AT74" i="7"/>
  <c r="AN74" i="7"/>
  <c r="AM74" i="7"/>
  <c r="AF74" i="7"/>
  <c r="AC74" i="7"/>
  <c r="W74" i="7"/>
  <c r="Q74" i="7"/>
  <c r="N74" i="7"/>
  <c r="K74" i="7"/>
  <c r="H74" i="7"/>
  <c r="E74" i="7"/>
  <c r="AU73" i="7"/>
  <c r="AT73" i="7"/>
  <c r="AN73" i="7"/>
  <c r="Q73" i="7"/>
  <c r="O73" i="7"/>
  <c r="O78" i="7" s="1"/>
  <c r="L73" i="7"/>
  <c r="L78" i="7" s="1"/>
  <c r="K73" i="7"/>
  <c r="F78" i="7"/>
  <c r="C73" i="7"/>
  <c r="D73" i="7" s="1"/>
  <c r="D78" i="7" s="1"/>
  <c r="AU72" i="7"/>
  <c r="AT72" i="7"/>
  <c r="AU71" i="7"/>
  <c r="AT71" i="7"/>
  <c r="AU70" i="7"/>
  <c r="AT70" i="7"/>
  <c r="AU69" i="7"/>
  <c r="AT69" i="7"/>
  <c r="AU68" i="7"/>
  <c r="AK68" i="7"/>
  <c r="AH68" i="7"/>
  <c r="AE68" i="7"/>
  <c r="AD68" i="7"/>
  <c r="AB68" i="7"/>
  <c r="V68" i="7"/>
  <c r="S68" i="7"/>
  <c r="P68" i="7"/>
  <c r="J68" i="7"/>
  <c r="I68" i="7"/>
  <c r="G68" i="7"/>
  <c r="D68" i="7"/>
  <c r="B68" i="7"/>
  <c r="AU67" i="7"/>
  <c r="AT67" i="7"/>
  <c r="AN67" i="7"/>
  <c r="AM67" i="7"/>
  <c r="AL67" i="7"/>
  <c r="AI67" i="7"/>
  <c r="AF67" i="7"/>
  <c r="AC67" i="7"/>
  <c r="Z67" i="7"/>
  <c r="W67" i="7"/>
  <c r="T67" i="7"/>
  <c r="Q67" i="7"/>
  <c r="N67" i="7"/>
  <c r="K67" i="7"/>
  <c r="H67" i="7"/>
  <c r="E67" i="7"/>
  <c r="AU66" i="7"/>
  <c r="AT66" i="7"/>
  <c r="AN66" i="7"/>
  <c r="L66" i="7"/>
  <c r="AU65" i="7"/>
  <c r="AT65" i="7"/>
  <c r="AN65" i="7"/>
  <c r="AJ65" i="7"/>
  <c r="AJ68" i="7" s="1"/>
  <c r="AG65" i="7"/>
  <c r="AI65" i="7" s="1"/>
  <c r="AD65" i="7"/>
  <c r="AF65" i="7" s="1"/>
  <c r="AA65" i="7"/>
  <c r="X65" i="7"/>
  <c r="X68" i="7" s="1"/>
  <c r="U65" i="7"/>
  <c r="W65" i="7" s="1"/>
  <c r="R65" i="7"/>
  <c r="T65" i="7" s="1"/>
  <c r="Q65" i="7"/>
  <c r="O65" i="7"/>
  <c r="O68" i="7" s="1"/>
  <c r="L65" i="7"/>
  <c r="K65" i="7"/>
  <c r="H65" i="7"/>
  <c r="F65" i="7"/>
  <c r="F68" i="7" s="1"/>
  <c r="C65" i="7"/>
  <c r="E65" i="7" s="1"/>
  <c r="AU64" i="7"/>
  <c r="AT64" i="7"/>
  <c r="AM64" i="7"/>
  <c r="AL64" i="7"/>
  <c r="AI64" i="7"/>
  <c r="AF64" i="7"/>
  <c r="AC64" i="7"/>
  <c r="Y64" i="7"/>
  <c r="Z64" i="7" s="1"/>
  <c r="W64" i="7"/>
  <c r="T64" i="7"/>
  <c r="Q64" i="7"/>
  <c r="M64" i="7"/>
  <c r="K64" i="7"/>
  <c r="H64" i="7"/>
  <c r="E64" i="7"/>
  <c r="AM63" i="7"/>
  <c r="AU62" i="7"/>
  <c r="AU61" i="7"/>
  <c r="AK61" i="7"/>
  <c r="AH61" i="7"/>
  <c r="AE61" i="7"/>
  <c r="AB61" i="7"/>
  <c r="Y61" i="7"/>
  <c r="V61" i="7"/>
  <c r="S61" i="7"/>
  <c r="P61" i="7"/>
  <c r="M61" i="7"/>
  <c r="L61" i="7"/>
  <c r="J61" i="7"/>
  <c r="K61" i="7" s="1"/>
  <c r="I61" i="7"/>
  <c r="G61" i="7"/>
  <c r="D61" i="7"/>
  <c r="B61" i="7"/>
  <c r="AU60" i="7"/>
  <c r="AT60" i="7"/>
  <c r="AN60" i="7"/>
  <c r="AM60" i="7"/>
  <c r="AL60" i="7"/>
  <c r="AI60" i="7"/>
  <c r="AF60" i="7"/>
  <c r="AC60" i="7"/>
  <c r="Z60" i="7"/>
  <c r="W60" i="7"/>
  <c r="T60" i="7"/>
  <c r="Q60" i="7"/>
  <c r="N60" i="7"/>
  <c r="K60" i="7"/>
  <c r="H60" i="7"/>
  <c r="E60" i="7"/>
  <c r="AU59" i="7"/>
  <c r="AT59" i="7"/>
  <c r="AN59" i="7"/>
  <c r="AM59" i="7"/>
  <c r="AL59" i="7"/>
  <c r="AI59" i="7"/>
  <c r="AF59" i="7"/>
  <c r="AC59" i="7"/>
  <c r="Z59" i="7"/>
  <c r="W59" i="7"/>
  <c r="T59" i="7"/>
  <c r="Q59" i="7"/>
  <c r="N59" i="7"/>
  <c r="K59" i="7"/>
  <c r="H59" i="7"/>
  <c r="E59" i="7"/>
  <c r="AU58" i="7"/>
  <c r="AT58" i="7"/>
  <c r="AN58" i="7"/>
  <c r="AM58" i="7"/>
  <c r="AL58" i="7"/>
  <c r="AI58" i="7"/>
  <c r="AF58" i="7"/>
  <c r="AC58" i="7"/>
  <c r="Z58" i="7"/>
  <c r="W58" i="7"/>
  <c r="T58" i="7"/>
  <c r="Q58" i="7"/>
  <c r="N58" i="7"/>
  <c r="K58" i="7"/>
  <c r="H58" i="7"/>
  <c r="E58" i="7"/>
  <c r="AU57" i="7"/>
  <c r="AT57" i="7"/>
  <c r="AN57" i="7"/>
  <c r="AM57" i="7"/>
  <c r="AL57" i="7"/>
  <c r="AI57" i="7"/>
  <c r="AF57" i="7"/>
  <c r="AC57" i="7"/>
  <c r="Z57" i="7"/>
  <c r="W57" i="7"/>
  <c r="T57" i="7"/>
  <c r="Q57" i="7"/>
  <c r="N57" i="7"/>
  <c r="K57" i="7"/>
  <c r="H57" i="7"/>
  <c r="E57" i="7"/>
  <c r="AU56" i="7"/>
  <c r="AT56" i="7"/>
  <c r="AN56" i="7"/>
  <c r="AL56" i="7"/>
  <c r="AJ56" i="7"/>
  <c r="AG56" i="7"/>
  <c r="AI56" i="7" s="1"/>
  <c r="AD56" i="7"/>
  <c r="AD61" i="7" s="1"/>
  <c r="AA56" i="7"/>
  <c r="X56" i="7"/>
  <c r="Z56" i="7" s="1"/>
  <c r="U56" i="7"/>
  <c r="W56" i="7" s="1"/>
  <c r="R56" i="7"/>
  <c r="R61" i="7" s="1"/>
  <c r="O56" i="7"/>
  <c r="N56" i="7"/>
  <c r="L56" i="7"/>
  <c r="K56" i="7"/>
  <c r="F56" i="7"/>
  <c r="H56" i="7" s="1"/>
  <c r="C56" i="7"/>
  <c r="AU55" i="7"/>
  <c r="AT55" i="7"/>
  <c r="AN55" i="7"/>
  <c r="AJ55" i="7"/>
  <c r="AL55" i="7" s="1"/>
  <c r="AI55" i="7"/>
  <c r="AF55" i="7"/>
  <c r="AC55" i="7"/>
  <c r="X55" i="7"/>
  <c r="Z55" i="7" s="1"/>
  <c r="T55" i="7"/>
  <c r="N55" i="7"/>
  <c r="F55" i="7"/>
  <c r="H55" i="7" s="1"/>
  <c r="C55" i="7"/>
  <c r="AM55" i="7" s="1"/>
  <c r="AM54" i="7"/>
  <c r="AU53" i="7"/>
  <c r="AT53" i="7"/>
  <c r="AN53" i="7"/>
  <c r="AM53" i="7"/>
  <c r="AJ53" i="7"/>
  <c r="AL53" i="7" s="1"/>
  <c r="AI53" i="7"/>
  <c r="AI61" i="7" s="1"/>
  <c r="AF53" i="7"/>
  <c r="AF61" i="7" s="1"/>
  <c r="AC53" i="7"/>
  <c r="AC61" i="7" s="1"/>
  <c r="Z53" i="7"/>
  <c r="W53" i="7"/>
  <c r="T53" i="7"/>
  <c r="T61" i="7" s="1"/>
  <c r="Q53" i="7"/>
  <c r="Q61" i="7" s="1"/>
  <c r="N53" i="7"/>
  <c r="N61" i="7" s="1"/>
  <c r="K53" i="7"/>
  <c r="H53" i="7"/>
  <c r="F53" i="7"/>
  <c r="E53" i="7"/>
  <c r="AU52" i="7"/>
  <c r="AT52" i="7"/>
  <c r="AN52" i="7"/>
  <c r="AU51" i="7"/>
  <c r="AK51" i="7"/>
  <c r="AH51" i="7"/>
  <c r="AE51" i="7"/>
  <c r="AB51" i="7"/>
  <c r="Y51" i="7"/>
  <c r="V51" i="7"/>
  <c r="S51" i="7"/>
  <c r="P51" i="7"/>
  <c r="M51" i="7"/>
  <c r="J51" i="7"/>
  <c r="G51" i="7"/>
  <c r="D51" i="7"/>
  <c r="B51" i="7"/>
  <c r="AU50" i="7"/>
  <c r="AT50" i="7"/>
  <c r="AN50" i="7"/>
  <c r="AM50" i="7"/>
  <c r="Q50" i="7"/>
  <c r="H50" i="7"/>
  <c r="AU49" i="7"/>
  <c r="AT49" i="7"/>
  <c r="AN49" i="7"/>
  <c r="AM49" i="7"/>
  <c r="AL49" i="7"/>
  <c r="AI49" i="7"/>
  <c r="AF49" i="7"/>
  <c r="AC49" i="7"/>
  <c r="Z49" i="7"/>
  <c r="W49" i="7"/>
  <c r="T49" i="7"/>
  <c r="Q49" i="7"/>
  <c r="N49" i="7"/>
  <c r="K49" i="7"/>
  <c r="H49" i="7"/>
  <c r="E49" i="7"/>
  <c r="AU48" i="7"/>
  <c r="AT48" i="7"/>
  <c r="AN48" i="7"/>
  <c r="AM48" i="7"/>
  <c r="Z48" i="7"/>
  <c r="N48" i="7"/>
  <c r="AU47" i="7"/>
  <c r="AT47" i="7"/>
  <c r="AN47" i="7"/>
  <c r="K47" i="7"/>
  <c r="C47" i="7"/>
  <c r="I47" i="7" s="1"/>
  <c r="AU46" i="7"/>
  <c r="AT46" i="7"/>
  <c r="AN46" i="7"/>
  <c r="T46" i="7"/>
  <c r="Q46" i="7"/>
  <c r="N46" i="7"/>
  <c r="C46" i="7"/>
  <c r="AU45" i="7"/>
  <c r="AT45" i="7"/>
  <c r="AN45" i="7"/>
  <c r="AJ45" i="7"/>
  <c r="X45" i="7"/>
  <c r="Z45" i="7" s="1"/>
  <c r="U45" i="7"/>
  <c r="L45" i="7"/>
  <c r="N45" i="7" s="1"/>
  <c r="AU44" i="7"/>
  <c r="AT44" i="7"/>
  <c r="AN44" i="7"/>
  <c r="AA44" i="7"/>
  <c r="AM44" i="7" s="1"/>
  <c r="AU43" i="7"/>
  <c r="AT43" i="7"/>
  <c r="AN43" i="7"/>
  <c r="AM43" i="7"/>
  <c r="AU42" i="7"/>
  <c r="AK42" i="7"/>
  <c r="AH42" i="7"/>
  <c r="AE42" i="7"/>
  <c r="AB42" i="7"/>
  <c r="Y42" i="7"/>
  <c r="V42" i="7"/>
  <c r="S42" i="7"/>
  <c r="P42" i="7"/>
  <c r="M42" i="7"/>
  <c r="J42" i="7"/>
  <c r="G42" i="7"/>
  <c r="D42" i="7"/>
  <c r="AU41" i="7"/>
  <c r="AT41" i="7"/>
  <c r="AN41" i="7"/>
  <c r="T41" i="7"/>
  <c r="R41" i="7"/>
  <c r="AM41" i="7"/>
  <c r="AU40" i="7"/>
  <c r="AT40" i="7"/>
  <c r="AN40" i="7"/>
  <c r="AL40" i="7"/>
  <c r="AI40" i="7"/>
  <c r="AD40" i="7"/>
  <c r="AF40" i="7" s="1"/>
  <c r="AA40" i="7"/>
  <c r="AM40" i="7" s="1"/>
  <c r="Z40" i="7"/>
  <c r="W40" i="7"/>
  <c r="T40" i="7"/>
  <c r="Q40" i="7"/>
  <c r="N40" i="7"/>
  <c r="H40" i="7"/>
  <c r="E40" i="7"/>
  <c r="AU39" i="7"/>
  <c r="AT39" i="7"/>
  <c r="AN39" i="7"/>
  <c r="AJ39" i="7"/>
  <c r="AL39" i="7" s="1"/>
  <c r="AG39" i="7"/>
  <c r="AI39" i="7" s="1"/>
  <c r="AD39" i="7"/>
  <c r="AF39" i="7" s="1"/>
  <c r="AA39" i="7"/>
  <c r="AC39" i="7" s="1"/>
  <c r="Z39" i="7"/>
  <c r="X39" i="7"/>
  <c r="U39" i="7"/>
  <c r="W39" i="7" s="1"/>
  <c r="R39" i="7"/>
  <c r="T39" i="7" s="1"/>
  <c r="O39" i="7"/>
  <c r="Q39" i="7" s="1"/>
  <c r="L39" i="7"/>
  <c r="N39" i="7" s="1"/>
  <c r="H39" i="7"/>
  <c r="B39" i="7"/>
  <c r="B42" i="7" s="1"/>
  <c r="AU38" i="7"/>
  <c r="AT38" i="7"/>
  <c r="AN38" i="7"/>
  <c r="AM38" i="7"/>
  <c r="AL38" i="7"/>
  <c r="AI38" i="7"/>
  <c r="AF38" i="7"/>
  <c r="AC38" i="7"/>
  <c r="Z38" i="7"/>
  <c r="W38" i="7"/>
  <c r="T38" i="7"/>
  <c r="Q38" i="7"/>
  <c r="N38" i="7"/>
  <c r="H38" i="7"/>
  <c r="E38" i="7"/>
  <c r="AU37" i="7"/>
  <c r="AT37" i="7"/>
  <c r="AN37" i="7"/>
  <c r="AM37" i="7"/>
  <c r="AL37" i="7"/>
  <c r="AI37" i="7"/>
  <c r="AF37" i="7"/>
  <c r="AC37" i="7"/>
  <c r="Z37" i="7"/>
  <c r="W37" i="7"/>
  <c r="T37" i="7"/>
  <c r="Q37" i="7"/>
  <c r="N37" i="7"/>
  <c r="H37" i="7"/>
  <c r="E37" i="7"/>
  <c r="AU36" i="7"/>
  <c r="AT36" i="7"/>
  <c r="AN36" i="7"/>
  <c r="AM36" i="7"/>
  <c r="AL36" i="7"/>
  <c r="AI36" i="7"/>
  <c r="AF36" i="7"/>
  <c r="AC36" i="7"/>
  <c r="Z36" i="7"/>
  <c r="W36" i="7"/>
  <c r="T36" i="7"/>
  <c r="Q36" i="7"/>
  <c r="N36" i="7"/>
  <c r="H36" i="7"/>
  <c r="E36" i="7"/>
  <c r="AU35" i="7"/>
  <c r="AT35" i="7"/>
  <c r="AV35" i="7" s="1"/>
  <c r="AN35" i="7"/>
  <c r="AA35" i="7"/>
  <c r="AC35" i="7" s="1"/>
  <c r="W35" i="7"/>
  <c r="T35" i="7"/>
  <c r="Q35" i="7"/>
  <c r="N35" i="7"/>
  <c r="AU34" i="7"/>
  <c r="AT34" i="7"/>
  <c r="AN34" i="7"/>
  <c r="AG34" i="7"/>
  <c r="AI34" i="7" s="1"/>
  <c r="U34" i="7"/>
  <c r="W34" i="7" s="1"/>
  <c r="AU33" i="7"/>
  <c r="AT33" i="7"/>
  <c r="AN33" i="7"/>
  <c r="AJ33" i="7"/>
  <c r="AL33" i="7" s="1"/>
  <c r="AG33" i="7"/>
  <c r="AI33" i="7" s="1"/>
  <c r="AD33" i="7"/>
  <c r="AF33" i="7" s="1"/>
  <c r="AC33" i="7"/>
  <c r="AA33" i="7"/>
  <c r="X33" i="7"/>
  <c r="Z33" i="7" s="1"/>
  <c r="U33" i="7"/>
  <c r="W33" i="7" s="1"/>
  <c r="T33" i="7"/>
  <c r="Q33" i="7"/>
  <c r="N33" i="7"/>
  <c r="E33" i="7"/>
  <c r="AU32" i="7"/>
  <c r="AT32" i="7"/>
  <c r="AN32" i="7"/>
  <c r="AM32" i="7"/>
  <c r="AL32" i="7"/>
  <c r="AI32" i="7"/>
  <c r="AF32" i="7"/>
  <c r="AC32" i="7"/>
  <c r="Z32" i="7"/>
  <c r="W32" i="7"/>
  <c r="T32" i="7"/>
  <c r="Q32" i="7"/>
  <c r="N32" i="7"/>
  <c r="H32" i="7"/>
  <c r="E32" i="7"/>
  <c r="AU31" i="7"/>
  <c r="AT31" i="7"/>
  <c r="AN31" i="7"/>
  <c r="AJ31" i="7"/>
  <c r="AL31" i="7" s="1"/>
  <c r="AD31" i="7"/>
  <c r="AF31" i="7" s="1"/>
  <c r="X31" i="7"/>
  <c r="Z31" i="7" s="1"/>
  <c r="R31" i="7"/>
  <c r="T31" i="7" s="1"/>
  <c r="L31" i="7"/>
  <c r="N31" i="7" s="1"/>
  <c r="H31" i="7"/>
  <c r="E31" i="7"/>
  <c r="AU30" i="7"/>
  <c r="AT30" i="7"/>
  <c r="AN30" i="7"/>
  <c r="AG30" i="7"/>
  <c r="AI30" i="7" s="1"/>
  <c r="AU29" i="7"/>
  <c r="AT29" i="7"/>
  <c r="AN29" i="7"/>
  <c r="AU28" i="7"/>
  <c r="AT28" i="7"/>
  <c r="AN28" i="7"/>
  <c r="AM28" i="7"/>
  <c r="AL28" i="7"/>
  <c r="AI28" i="7"/>
  <c r="AF28" i="7"/>
  <c r="AC28" i="7"/>
  <c r="Z28" i="7"/>
  <c r="W28" i="7"/>
  <c r="T28" i="7"/>
  <c r="Q28" i="7"/>
  <c r="N28" i="7"/>
  <c r="H28" i="7"/>
  <c r="E28" i="7"/>
  <c r="AU27" i="7"/>
  <c r="AT27" i="7"/>
  <c r="AN27" i="7"/>
  <c r="AM27" i="7"/>
  <c r="Z27" i="7"/>
  <c r="N27" i="7"/>
  <c r="E27" i="7"/>
  <c r="AU26" i="7"/>
  <c r="AT26" i="7"/>
  <c r="AN26" i="7"/>
  <c r="AJ26" i="7"/>
  <c r="AD26" i="7"/>
  <c r="AF26" i="7" s="1"/>
  <c r="X26" i="7"/>
  <c r="Z26" i="7" s="1"/>
  <c r="T26" i="7"/>
  <c r="Q26" i="7"/>
  <c r="N26" i="7"/>
  <c r="H26" i="7"/>
  <c r="E26" i="7"/>
  <c r="AT25" i="7"/>
  <c r="AN25" i="7"/>
  <c r="AM25" i="7"/>
  <c r="AU24" i="7"/>
  <c r="AK24" i="7"/>
  <c r="AH24" i="7"/>
  <c r="AH69" i="7" s="1"/>
  <c r="AE24" i="7"/>
  <c r="AB24" i="7"/>
  <c r="Y24" i="7"/>
  <c r="V24" i="7"/>
  <c r="V69" i="7" s="1"/>
  <c r="S24" i="7"/>
  <c r="P24" i="7"/>
  <c r="P69" i="7" s="1"/>
  <c r="M24" i="7"/>
  <c r="J24" i="7"/>
  <c r="G24" i="7"/>
  <c r="D24" i="7"/>
  <c r="AU23" i="7"/>
  <c r="AT23" i="7"/>
  <c r="AN23" i="7"/>
  <c r="AJ23" i="7"/>
  <c r="AL23" i="7" s="1"/>
  <c r="AG23" i="7"/>
  <c r="AI23" i="7" s="1"/>
  <c r="AF23" i="7"/>
  <c r="AD23" i="7"/>
  <c r="AA23" i="7"/>
  <c r="AC23" i="7" s="1"/>
  <c r="Z23" i="7"/>
  <c r="X23" i="7"/>
  <c r="U23" i="7"/>
  <c r="W23" i="7" s="1"/>
  <c r="R23" i="7"/>
  <c r="T23" i="7" s="1"/>
  <c r="O23" i="7"/>
  <c r="Q23" i="7" s="1"/>
  <c r="L23" i="7"/>
  <c r="N23" i="7" s="1"/>
  <c r="H23" i="7"/>
  <c r="E23" i="7"/>
  <c r="B23" i="7"/>
  <c r="AU22" i="7"/>
  <c r="AT22" i="7"/>
  <c r="AN22" i="7"/>
  <c r="AD22" i="7"/>
  <c r="AF22" i="7" s="1"/>
  <c r="E22" i="7"/>
  <c r="AU21" i="7"/>
  <c r="AT21" i="7"/>
  <c r="AN21" i="7"/>
  <c r="X21" i="7"/>
  <c r="Z21" i="7" s="1"/>
  <c r="U21" i="7"/>
  <c r="W21" i="7" s="1"/>
  <c r="T21" i="7"/>
  <c r="Q21" i="7"/>
  <c r="L21" i="7"/>
  <c r="N21" i="7" s="1"/>
  <c r="F21" i="7"/>
  <c r="H21" i="7" s="1"/>
  <c r="E21" i="7"/>
  <c r="B21" i="7"/>
  <c r="B24" i="7" s="1"/>
  <c r="AU20" i="7"/>
  <c r="AT20" i="7"/>
  <c r="AN20" i="7"/>
  <c r="AM20" i="7"/>
  <c r="AU19" i="7"/>
  <c r="AT19" i="7"/>
  <c r="AN19" i="7"/>
  <c r="AJ19" i="7"/>
  <c r="AL19" i="7" s="1"/>
  <c r="AD19" i="7"/>
  <c r="AF19" i="7" s="1"/>
  <c r="U19" i="7"/>
  <c r="W19" i="7" s="1"/>
  <c r="O19" i="7"/>
  <c r="Q19" i="7" s="1"/>
  <c r="L19" i="7"/>
  <c r="N19" i="7" s="1"/>
  <c r="F19" i="7"/>
  <c r="H19" i="7" s="1"/>
  <c r="E19" i="7"/>
  <c r="AA19" i="7"/>
  <c r="AC19" i="7" s="1"/>
  <c r="AU18" i="7"/>
  <c r="AT18" i="7"/>
  <c r="AN18" i="7"/>
  <c r="AJ18" i="7"/>
  <c r="AU17" i="7"/>
  <c r="AT17" i="7"/>
  <c r="AN17" i="7"/>
  <c r="AJ17" i="7"/>
  <c r="AA17" i="7"/>
  <c r="X17" i="7"/>
  <c r="R17" i="7"/>
  <c r="L17" i="7"/>
  <c r="F17" i="7"/>
  <c r="E17" i="7"/>
  <c r="AU16" i="7"/>
  <c r="AT16" i="7"/>
  <c r="AN16" i="7"/>
  <c r="AJ16" i="7"/>
  <c r="AL16" i="7" s="1"/>
  <c r="AD16" i="7"/>
  <c r="AF16" i="7" s="1"/>
  <c r="X16" i="7"/>
  <c r="Z16" i="7" s="1"/>
  <c r="R16" i="7"/>
  <c r="T16" i="7" s="1"/>
  <c r="L16" i="7"/>
  <c r="N16" i="7" s="1"/>
  <c r="F16" i="7"/>
  <c r="H16" i="7" s="1"/>
  <c r="E16" i="7"/>
  <c r="AU15" i="7"/>
  <c r="AT15" i="7"/>
  <c r="AN15" i="7"/>
  <c r="AU14" i="7"/>
  <c r="AT14" i="7"/>
  <c r="AU13" i="7"/>
  <c r="AU12" i="7"/>
  <c r="AU11" i="7"/>
  <c r="AT11" i="7"/>
  <c r="AE11" i="7"/>
  <c r="AB11" i="7"/>
  <c r="Y11" i="7"/>
  <c r="V11" i="7"/>
  <c r="S11" i="7"/>
  <c r="P11" i="7"/>
  <c r="M11" i="7"/>
  <c r="G11" i="7"/>
  <c r="D11" i="7"/>
  <c r="B11" i="7"/>
  <c r="AU10" i="7"/>
  <c r="AT10" i="7"/>
  <c r="AN10" i="7"/>
  <c r="C10" i="7"/>
  <c r="I10" i="7" s="1"/>
  <c r="AU9" i="7"/>
  <c r="AT9" i="7"/>
  <c r="AN9" i="7"/>
  <c r="Q9" i="7"/>
  <c r="N9" i="7"/>
  <c r="K9" i="7"/>
  <c r="C9" i="7"/>
  <c r="I9" i="7" s="1"/>
  <c r="I11" i="7" s="1"/>
  <c r="AU8" i="7"/>
  <c r="AT8" i="7"/>
  <c r="AN8" i="7"/>
  <c r="AL8" i="7"/>
  <c r="AI8" i="7"/>
  <c r="AF8" i="7"/>
  <c r="Z8" i="7"/>
  <c r="L8" i="7"/>
  <c r="L22" i="7" s="1"/>
  <c r="K8" i="7"/>
  <c r="F8" i="7"/>
  <c r="H8" i="7" s="1"/>
  <c r="E8" i="7"/>
  <c r="AS3" i="7"/>
  <c r="M95" i="6"/>
  <c r="C95" i="6"/>
  <c r="AJ90" i="6"/>
  <c r="AG90" i="6"/>
  <c r="AD90" i="6"/>
  <c r="AA90" i="6"/>
  <c r="X90" i="6"/>
  <c r="Y90" i="6" s="1"/>
  <c r="U90" i="6"/>
  <c r="T90" i="6"/>
  <c r="R90" i="6"/>
  <c r="O90" i="6"/>
  <c r="AI89" i="6"/>
  <c r="AI90" i="6" s="1"/>
  <c r="AF89" i="6"/>
  <c r="AF90" i="6" s="1"/>
  <c r="AC89" i="6"/>
  <c r="AC90" i="6" s="1"/>
  <c r="Z89" i="6"/>
  <c r="AB89" i="6" s="1"/>
  <c r="W89" i="6"/>
  <c r="W90" i="6" s="1"/>
  <c r="T89" i="6"/>
  <c r="V89" i="6" s="1"/>
  <c r="Q89" i="6"/>
  <c r="Q90" i="6" s="1"/>
  <c r="N89" i="6"/>
  <c r="P89" i="6" s="1"/>
  <c r="L89" i="6"/>
  <c r="K89" i="6"/>
  <c r="K90" i="6" s="1"/>
  <c r="H89" i="6"/>
  <c r="H90" i="6" s="1"/>
  <c r="B89" i="6"/>
  <c r="AL87" i="6"/>
  <c r="AB87" i="6"/>
  <c r="Y87" i="6"/>
  <c r="V87" i="6"/>
  <c r="S87" i="6"/>
  <c r="P87" i="6"/>
  <c r="M87" i="6"/>
  <c r="I87" i="6"/>
  <c r="J87" i="6" s="1"/>
  <c r="F87" i="6"/>
  <c r="G87" i="6" s="1"/>
  <c r="C87" i="6"/>
  <c r="D87" i="6" s="1"/>
  <c r="AL86" i="6"/>
  <c r="AB86" i="6"/>
  <c r="Y86" i="6"/>
  <c r="V86" i="6"/>
  <c r="M86" i="6"/>
  <c r="J86" i="6"/>
  <c r="F86" i="6"/>
  <c r="G86" i="6" s="1"/>
  <c r="D86" i="6"/>
  <c r="AB85" i="6"/>
  <c r="Y85" i="6"/>
  <c r="S85" i="6"/>
  <c r="P85" i="6"/>
  <c r="M85" i="6"/>
  <c r="F85" i="6"/>
  <c r="E85" i="6"/>
  <c r="AL85" i="6" s="1"/>
  <c r="AM83" i="6"/>
  <c r="AL83" i="6"/>
  <c r="AJ81" i="6"/>
  <c r="AG81" i="6"/>
  <c r="AD81" i="6"/>
  <c r="AA81" i="6"/>
  <c r="X81" i="6"/>
  <c r="U81" i="6"/>
  <c r="R81" i="6"/>
  <c r="O81" i="6"/>
  <c r="L81" i="6"/>
  <c r="AM80" i="6"/>
  <c r="AL80" i="6"/>
  <c r="M80" i="6"/>
  <c r="AM79" i="6"/>
  <c r="AL79" i="6"/>
  <c r="Y79" i="6"/>
  <c r="V79" i="6"/>
  <c r="AL78" i="6"/>
  <c r="I78" i="6"/>
  <c r="J78" i="6" s="1"/>
  <c r="AM77" i="6"/>
  <c r="AN77" i="6" s="1"/>
  <c r="AL77" i="6"/>
  <c r="AL76" i="6"/>
  <c r="V76" i="6"/>
  <c r="M76" i="6"/>
  <c r="F76" i="6"/>
  <c r="AM76" i="6" s="1"/>
  <c r="AN76" i="6" s="1"/>
  <c r="AB75" i="6"/>
  <c r="Y75" i="6"/>
  <c r="V75" i="6"/>
  <c r="F75" i="6"/>
  <c r="E75" i="6"/>
  <c r="C75" i="6"/>
  <c r="B75" i="6"/>
  <c r="AL74" i="6"/>
  <c r="I74" i="6"/>
  <c r="AM74" i="6" s="1"/>
  <c r="AI73" i="6"/>
  <c r="AF73" i="6"/>
  <c r="AC73" i="6"/>
  <c r="Z73" i="6"/>
  <c r="W73" i="6"/>
  <c r="T73" i="6"/>
  <c r="Q73" i="6"/>
  <c r="F73" i="6"/>
  <c r="G73" i="6" s="1"/>
  <c r="C73" i="6"/>
  <c r="AI72" i="6"/>
  <c r="AF72" i="6"/>
  <c r="AC72" i="6"/>
  <c r="AC81" i="6" s="1"/>
  <c r="Z72" i="6"/>
  <c r="Z81" i="6" s="1"/>
  <c r="AB81" i="6" s="1"/>
  <c r="W72" i="6"/>
  <c r="T72" i="6"/>
  <c r="I72" i="6"/>
  <c r="H72" i="6"/>
  <c r="H81" i="6" s="1"/>
  <c r="F72" i="6"/>
  <c r="E72" i="6"/>
  <c r="C72" i="6"/>
  <c r="B72" i="6" s="1"/>
  <c r="AL71" i="6"/>
  <c r="AB71" i="6"/>
  <c r="Y71" i="6"/>
  <c r="V71" i="6"/>
  <c r="S71" i="6"/>
  <c r="P71" i="6"/>
  <c r="M71" i="6"/>
  <c r="I71" i="6"/>
  <c r="J71" i="6" s="1"/>
  <c r="F71" i="6"/>
  <c r="G71" i="6" s="1"/>
  <c r="C71" i="6"/>
  <c r="AL70" i="6"/>
  <c r="AK70" i="6"/>
  <c r="AH70" i="6"/>
  <c r="AE70" i="6"/>
  <c r="AB70" i="6"/>
  <c r="Y70" i="6"/>
  <c r="V70" i="6"/>
  <c r="S70" i="6"/>
  <c r="P70" i="6"/>
  <c r="M70" i="6"/>
  <c r="I70" i="6"/>
  <c r="J70" i="6" s="1"/>
  <c r="F70" i="6"/>
  <c r="G70" i="6" s="1"/>
  <c r="C70" i="6"/>
  <c r="AM69" i="6"/>
  <c r="AN69" i="6" s="1"/>
  <c r="AL69" i="6"/>
  <c r="G69" i="6"/>
  <c r="AM68" i="6"/>
  <c r="AL68" i="6"/>
  <c r="V68" i="6"/>
  <c r="M68" i="6"/>
  <c r="AL67" i="6"/>
  <c r="AB67" i="6"/>
  <c r="Y67" i="6"/>
  <c r="V67" i="6"/>
  <c r="S67" i="6"/>
  <c r="P67" i="6"/>
  <c r="M67" i="6"/>
  <c r="I67" i="6"/>
  <c r="J67" i="6" s="1"/>
  <c r="F67" i="6"/>
  <c r="G67" i="6" s="1"/>
  <c r="C67" i="6"/>
  <c r="AL66" i="6"/>
  <c r="AB66" i="6"/>
  <c r="Y66" i="6"/>
  <c r="V66" i="6"/>
  <c r="S66" i="6"/>
  <c r="P66" i="6"/>
  <c r="M66" i="6"/>
  <c r="I66" i="6"/>
  <c r="F66" i="6"/>
  <c r="G66" i="6" s="1"/>
  <c r="C66" i="6"/>
  <c r="AJ64" i="6"/>
  <c r="AI64" i="6"/>
  <c r="AG64" i="6"/>
  <c r="AF64" i="6"/>
  <c r="AD64" i="6"/>
  <c r="AC64" i="6"/>
  <c r="AA64" i="6"/>
  <c r="Z64" i="6"/>
  <c r="AB64" i="6" s="1"/>
  <c r="X64" i="6"/>
  <c r="Y64" i="6" s="1"/>
  <c r="W64" i="6"/>
  <c r="U64" i="6"/>
  <c r="T64" i="6"/>
  <c r="R64" i="6"/>
  <c r="S64" i="6" s="1"/>
  <c r="Q64" i="6"/>
  <c r="O64" i="6"/>
  <c r="P64" i="6" s="1"/>
  <c r="N64" i="6"/>
  <c r="K64" i="6"/>
  <c r="H64" i="6"/>
  <c r="B64" i="6"/>
  <c r="AL63" i="6"/>
  <c r="AB63" i="6"/>
  <c r="Y63" i="6"/>
  <c r="V63" i="6"/>
  <c r="S63" i="6"/>
  <c r="P63" i="6"/>
  <c r="L63" i="6"/>
  <c r="M63" i="6" s="1"/>
  <c r="I63" i="6"/>
  <c r="J63" i="6" s="1"/>
  <c r="F63" i="6"/>
  <c r="G63" i="6" s="1"/>
  <c r="C63" i="6"/>
  <c r="D63" i="6" s="1"/>
  <c r="AB62" i="6"/>
  <c r="Y62" i="6"/>
  <c r="V62" i="6"/>
  <c r="S62" i="6"/>
  <c r="P62" i="6"/>
  <c r="E62" i="6"/>
  <c r="AL62" i="6" s="1"/>
  <c r="C62" i="6"/>
  <c r="D62" i="6" s="1"/>
  <c r="AL61" i="6"/>
  <c r="AK61" i="6"/>
  <c r="AH61" i="6"/>
  <c r="AE61" i="6"/>
  <c r="AB61" i="6"/>
  <c r="Y61" i="6"/>
  <c r="V61" i="6"/>
  <c r="S61" i="6"/>
  <c r="P61" i="6"/>
  <c r="M61" i="6"/>
  <c r="F61" i="6"/>
  <c r="G61" i="6" s="1"/>
  <c r="C61" i="6"/>
  <c r="AL60" i="6"/>
  <c r="AB60" i="6"/>
  <c r="Y60" i="6"/>
  <c r="V60" i="6"/>
  <c r="S60" i="6"/>
  <c r="P60" i="6"/>
  <c r="M60" i="6"/>
  <c r="I60" i="6"/>
  <c r="J60" i="6" s="1"/>
  <c r="F60" i="6"/>
  <c r="G60" i="6" s="1"/>
  <c r="C60" i="6"/>
  <c r="D60" i="6" s="1"/>
  <c r="AJ58" i="6"/>
  <c r="AG58" i="6"/>
  <c r="AD58" i="6"/>
  <c r="AA58" i="6"/>
  <c r="X58" i="6"/>
  <c r="U58" i="6"/>
  <c r="R58" i="6"/>
  <c r="O58" i="6"/>
  <c r="I57" i="6"/>
  <c r="F57" i="6"/>
  <c r="E57" i="6"/>
  <c r="H57" i="6" s="1"/>
  <c r="K57" i="6" s="1"/>
  <c r="M57" i="6" s="1"/>
  <c r="C57" i="6"/>
  <c r="D57" i="6" s="1"/>
  <c r="AL56" i="6"/>
  <c r="AB56" i="6"/>
  <c r="Y56" i="6"/>
  <c r="V56" i="6"/>
  <c r="S56" i="6"/>
  <c r="P56" i="6"/>
  <c r="M56" i="6"/>
  <c r="I56" i="6"/>
  <c r="J56" i="6" s="1"/>
  <c r="C56" i="6"/>
  <c r="AB55" i="6"/>
  <c r="Y55" i="6"/>
  <c r="V55" i="6"/>
  <c r="S55" i="6"/>
  <c r="P55" i="6"/>
  <c r="M55" i="6"/>
  <c r="J55" i="6"/>
  <c r="F55" i="6"/>
  <c r="G55" i="6" s="1"/>
  <c r="C55" i="6"/>
  <c r="B55" i="6"/>
  <c r="AL55" i="6" s="1"/>
  <c r="AO54" i="6"/>
  <c r="AB54" i="6"/>
  <c r="Y54" i="6"/>
  <c r="V54" i="6"/>
  <c r="S54" i="6"/>
  <c r="P54" i="6"/>
  <c r="M54" i="6"/>
  <c r="I54" i="6"/>
  <c r="H54" i="6"/>
  <c r="AL54" i="6" s="1"/>
  <c r="F54" i="6"/>
  <c r="G54" i="6" s="1"/>
  <c r="C54" i="6"/>
  <c r="D54" i="6" s="1"/>
  <c r="AL53" i="6"/>
  <c r="M52" i="6"/>
  <c r="I52" i="6"/>
  <c r="F52" i="6"/>
  <c r="E52" i="6"/>
  <c r="AL52" i="6" s="1"/>
  <c r="AM51" i="6"/>
  <c r="AL51" i="6"/>
  <c r="AB50" i="6"/>
  <c r="V50" i="6"/>
  <c r="Q50" i="6"/>
  <c r="N50" i="6"/>
  <c r="K50" i="6"/>
  <c r="I50" i="6"/>
  <c r="H50" i="6" s="1"/>
  <c r="E50" i="6"/>
  <c r="C50" i="6"/>
  <c r="AL49" i="6"/>
  <c r="C49" i="6"/>
  <c r="AI48" i="6"/>
  <c r="AF48" i="6"/>
  <c r="AC48" i="6"/>
  <c r="Z48" i="6"/>
  <c r="AB48" i="6" s="1"/>
  <c r="W48" i="6"/>
  <c r="Y48" i="6" s="1"/>
  <c r="T48" i="6"/>
  <c r="V48" i="6" s="1"/>
  <c r="S48" i="6"/>
  <c r="Q48" i="6"/>
  <c r="N48" i="6"/>
  <c r="P48" i="6" s="1"/>
  <c r="L48" i="6"/>
  <c r="K48" i="6"/>
  <c r="I48" i="6"/>
  <c r="H48" i="6"/>
  <c r="F48" i="6"/>
  <c r="E48" i="6"/>
  <c r="C48" i="6"/>
  <c r="B48" i="6"/>
  <c r="AL47" i="6"/>
  <c r="AB47" i="6"/>
  <c r="Y47" i="6"/>
  <c r="V47" i="6"/>
  <c r="S47" i="6"/>
  <c r="P47" i="6"/>
  <c r="M47" i="6"/>
  <c r="J47" i="6"/>
  <c r="F47" i="6"/>
  <c r="C47" i="6"/>
  <c r="D47" i="6" s="1"/>
  <c r="AI46" i="6"/>
  <c r="AF46" i="6"/>
  <c r="AC46" i="6"/>
  <c r="AB46" i="6"/>
  <c r="Z46" i="6"/>
  <c r="W46" i="6"/>
  <c r="Y46" i="6" s="1"/>
  <c r="V46" i="6"/>
  <c r="T46" i="6"/>
  <c r="Q46" i="6"/>
  <c r="N46" i="6"/>
  <c r="P46" i="6" s="1"/>
  <c r="L46" i="6"/>
  <c r="K46" i="6"/>
  <c r="I46" i="6"/>
  <c r="H46" i="6"/>
  <c r="F46" i="6"/>
  <c r="E46" i="6"/>
  <c r="C46" i="6"/>
  <c r="B46" i="6"/>
  <c r="AM45" i="6"/>
  <c r="AN45" i="6" s="1"/>
  <c r="AL45" i="6"/>
  <c r="S45" i="6"/>
  <c r="AL44" i="6"/>
  <c r="AB44" i="6"/>
  <c r="Y44" i="6"/>
  <c r="V44" i="6"/>
  <c r="S44" i="6"/>
  <c r="P44" i="6"/>
  <c r="L44" i="6"/>
  <c r="M44" i="6" s="1"/>
  <c r="G44" i="6"/>
  <c r="C44" i="6"/>
  <c r="D44" i="6" s="1"/>
  <c r="AB43" i="6"/>
  <c r="Y43" i="6"/>
  <c r="V43" i="6"/>
  <c r="S43" i="6"/>
  <c r="P43" i="6"/>
  <c r="M43" i="6"/>
  <c r="I43" i="6"/>
  <c r="F43" i="6"/>
  <c r="G43" i="6" s="1"/>
  <c r="C43" i="6"/>
  <c r="B43" i="6"/>
  <c r="AL43" i="6" s="1"/>
  <c r="AL41" i="6"/>
  <c r="AB41" i="6"/>
  <c r="Y41" i="6"/>
  <c r="V41" i="6"/>
  <c r="S41" i="6"/>
  <c r="P41" i="6"/>
  <c r="L41" i="6"/>
  <c r="M41" i="6" s="1"/>
  <c r="I41" i="6"/>
  <c r="J41" i="6" s="1"/>
  <c r="F41" i="6"/>
  <c r="G41" i="6" s="1"/>
  <c r="C41" i="6"/>
  <c r="D41" i="6" s="1"/>
  <c r="AL40" i="6"/>
  <c r="AB40" i="6"/>
  <c r="Y40" i="6"/>
  <c r="V40" i="6"/>
  <c r="S40" i="6"/>
  <c r="P40" i="6"/>
  <c r="M40" i="6"/>
  <c r="I40" i="6"/>
  <c r="J40" i="6" s="1"/>
  <c r="F40" i="6"/>
  <c r="G40" i="6" s="1"/>
  <c r="C40" i="6"/>
  <c r="AJ39" i="6"/>
  <c r="AI39" i="6"/>
  <c r="AG39" i="6"/>
  <c r="AF39" i="6"/>
  <c r="AD39" i="6"/>
  <c r="AC39" i="6"/>
  <c r="AA39" i="6"/>
  <c r="AB39" i="6" s="1"/>
  <c r="Z39" i="6"/>
  <c r="X39" i="6"/>
  <c r="Y39" i="6" s="1"/>
  <c r="W39" i="6"/>
  <c r="U39" i="6"/>
  <c r="T39" i="6"/>
  <c r="V39" i="6" s="1"/>
  <c r="S39" i="6"/>
  <c r="R39" i="6"/>
  <c r="Q39" i="6"/>
  <c r="O39" i="6"/>
  <c r="N39" i="6"/>
  <c r="L39" i="6"/>
  <c r="AL38" i="6"/>
  <c r="I38" i="6"/>
  <c r="F38" i="6"/>
  <c r="C38" i="6"/>
  <c r="F37" i="6"/>
  <c r="H37" i="6" s="1"/>
  <c r="AM36" i="6"/>
  <c r="AL36" i="6"/>
  <c r="AL35" i="6"/>
  <c r="F35" i="6"/>
  <c r="AM35" i="6" s="1"/>
  <c r="AB34" i="6"/>
  <c r="Y34" i="6"/>
  <c r="V34" i="6"/>
  <c r="S34" i="6"/>
  <c r="P34" i="6"/>
  <c r="M34" i="6"/>
  <c r="J34" i="6"/>
  <c r="F34" i="6"/>
  <c r="E34" i="6"/>
  <c r="AL34" i="6" s="1"/>
  <c r="C34" i="6"/>
  <c r="AB33" i="6"/>
  <c r="Y33" i="6"/>
  <c r="V33" i="6"/>
  <c r="K33" i="6"/>
  <c r="M33" i="6" s="1"/>
  <c r="I33" i="6"/>
  <c r="H33" i="6"/>
  <c r="F33" i="6"/>
  <c r="E33" i="6"/>
  <c r="C33" i="6"/>
  <c r="B33" i="6"/>
  <c r="AL32" i="6"/>
  <c r="C32" i="6"/>
  <c r="AM32" i="6" s="1"/>
  <c r="AN32" i="6" s="1"/>
  <c r="AL31" i="6"/>
  <c r="AB31" i="6"/>
  <c r="Y31" i="6"/>
  <c r="V31" i="6"/>
  <c r="S31" i="6"/>
  <c r="P31" i="6"/>
  <c r="M31" i="6"/>
  <c r="I31" i="6"/>
  <c r="F31" i="6"/>
  <c r="G31" i="6" s="1"/>
  <c r="C31" i="6"/>
  <c r="AL30" i="6"/>
  <c r="AK30" i="6"/>
  <c r="AH30" i="6"/>
  <c r="AE30" i="6"/>
  <c r="AB30" i="6"/>
  <c r="Y30" i="6"/>
  <c r="V30" i="6"/>
  <c r="S30" i="6"/>
  <c r="P30" i="6"/>
  <c r="M29" i="6"/>
  <c r="J29" i="6"/>
  <c r="E29" i="6"/>
  <c r="AL29" i="6" s="1"/>
  <c r="C29" i="6"/>
  <c r="AM29" i="6" s="1"/>
  <c r="AF26" i="6"/>
  <c r="Z26" i="6"/>
  <c r="O26" i="6"/>
  <c r="AI25" i="6"/>
  <c r="AF25" i="6"/>
  <c r="AC25" i="6"/>
  <c r="AB25" i="6"/>
  <c r="Z25" i="6"/>
  <c r="W25" i="6"/>
  <c r="Y25" i="6" s="1"/>
  <c r="T25" i="6"/>
  <c r="V25" i="6" s="1"/>
  <c r="Q25" i="6"/>
  <c r="S25" i="6" s="1"/>
  <c r="N25" i="6"/>
  <c r="AL24" i="6"/>
  <c r="AB24" i="6"/>
  <c r="Y24" i="6"/>
  <c r="V24" i="6"/>
  <c r="S24" i="6"/>
  <c r="P24" i="6"/>
  <c r="M24" i="6"/>
  <c r="J24" i="6"/>
  <c r="F24" i="6"/>
  <c r="AM24" i="6" s="1"/>
  <c r="AN24" i="6" s="1"/>
  <c r="D24" i="6"/>
  <c r="AM23" i="6"/>
  <c r="AL23" i="6"/>
  <c r="AK23" i="6"/>
  <c r="AH23" i="6"/>
  <c r="AE23" i="6"/>
  <c r="AB23" i="6"/>
  <c r="Y23" i="6"/>
  <c r="V23" i="6"/>
  <c r="S23" i="6"/>
  <c r="P23" i="6"/>
  <c r="M23" i="6"/>
  <c r="J23" i="6"/>
  <c r="G23" i="6"/>
  <c r="D23" i="6"/>
  <c r="AM22" i="6"/>
  <c r="AN22" i="6" s="1"/>
  <c r="AL22" i="6"/>
  <c r="AK22" i="6"/>
  <c r="AH22" i="6"/>
  <c r="AE22" i="6"/>
  <c r="AB22" i="6"/>
  <c r="Y22" i="6"/>
  <c r="V22" i="6"/>
  <c r="S22" i="6"/>
  <c r="P22" i="6"/>
  <c r="M22" i="6"/>
  <c r="J22" i="6"/>
  <c r="G22" i="6"/>
  <c r="C22" i="6"/>
  <c r="D22" i="6" s="1"/>
  <c r="AM21" i="6"/>
  <c r="AL21" i="6"/>
  <c r="AB21" i="6"/>
  <c r="Y21" i="6"/>
  <c r="V21" i="6"/>
  <c r="S21" i="6"/>
  <c r="P21" i="6"/>
  <c r="M21" i="6"/>
  <c r="J21" i="6"/>
  <c r="G21" i="6"/>
  <c r="D21" i="6"/>
  <c r="AL20" i="6"/>
  <c r="AB20" i="6"/>
  <c r="Y20" i="6"/>
  <c r="V20" i="6"/>
  <c r="S20" i="6"/>
  <c r="P20" i="6"/>
  <c r="M20" i="6"/>
  <c r="J20" i="6"/>
  <c r="F20" i="6"/>
  <c r="G20" i="6" s="1"/>
  <c r="C20" i="6"/>
  <c r="AM20" i="6" s="1"/>
  <c r="AN20" i="6" s="1"/>
  <c r="AB19" i="6"/>
  <c r="Y19" i="6"/>
  <c r="V19" i="6"/>
  <c r="S19" i="6"/>
  <c r="P19" i="6"/>
  <c r="L19" i="6"/>
  <c r="L25" i="6" s="1"/>
  <c r="K19" i="6"/>
  <c r="K25" i="6" s="1"/>
  <c r="I19" i="6"/>
  <c r="H19" i="6"/>
  <c r="H25" i="6" s="1"/>
  <c r="F19" i="6"/>
  <c r="E19" i="6"/>
  <c r="E25" i="6" s="1"/>
  <c r="C19" i="6"/>
  <c r="C25" i="6" s="1"/>
  <c r="B19" i="6"/>
  <c r="B25" i="6" s="1"/>
  <c r="AJ17" i="6"/>
  <c r="AJ26" i="6" s="1"/>
  <c r="AI17" i="6"/>
  <c r="AI26" i="6" s="1"/>
  <c r="AG17" i="6"/>
  <c r="AG26" i="6" s="1"/>
  <c r="AF17" i="6"/>
  <c r="AD17" i="6"/>
  <c r="AD26" i="6" s="1"/>
  <c r="AC17" i="6"/>
  <c r="AC26" i="6" s="1"/>
  <c r="AB17" i="6"/>
  <c r="AA17" i="6"/>
  <c r="AA26" i="6" s="1"/>
  <c r="Z17" i="6"/>
  <c r="X17" i="6"/>
  <c r="X26" i="6" s="1"/>
  <c r="W17" i="6"/>
  <c r="W26" i="6" s="1"/>
  <c r="U17" i="6"/>
  <c r="U26" i="6" s="1"/>
  <c r="T17" i="6"/>
  <c r="R17" i="6"/>
  <c r="R26" i="6" s="1"/>
  <c r="P17" i="6"/>
  <c r="O17" i="6"/>
  <c r="N17" i="6"/>
  <c r="AB16" i="6"/>
  <c r="Y16" i="6"/>
  <c r="V16" i="6"/>
  <c r="P16" i="6"/>
  <c r="K16" i="6"/>
  <c r="K17" i="6" s="1"/>
  <c r="K26" i="6" s="1"/>
  <c r="I16" i="6"/>
  <c r="H16" i="6"/>
  <c r="H17" i="6" s="1"/>
  <c r="E16" i="6"/>
  <c r="B16" i="6"/>
  <c r="AL15" i="6"/>
  <c r="AB15" i="6"/>
  <c r="Y15" i="6"/>
  <c r="V15" i="6"/>
  <c r="S15" i="6"/>
  <c r="P15" i="6"/>
  <c r="L15" i="6"/>
  <c r="M15" i="6" s="1"/>
  <c r="I15" i="6"/>
  <c r="J15" i="6" s="1"/>
  <c r="F15" i="6"/>
  <c r="G15" i="6" s="1"/>
  <c r="C15" i="6"/>
  <c r="AB14" i="6"/>
  <c r="Y14" i="6"/>
  <c r="V14" i="6"/>
  <c r="S14" i="6"/>
  <c r="P14" i="6"/>
  <c r="L14" i="6"/>
  <c r="M14" i="6" s="1"/>
  <c r="J14" i="6"/>
  <c r="C14" i="6"/>
  <c r="AI9" i="6"/>
  <c r="AF9" i="6"/>
  <c r="AC9" i="6"/>
  <c r="Z9" i="6"/>
  <c r="W9" i="6"/>
  <c r="T9" i="6"/>
  <c r="Q9" i="6"/>
  <c r="N9" i="6"/>
  <c r="K9" i="6"/>
  <c r="H9" i="6"/>
  <c r="E9" i="6"/>
  <c r="B9" i="6"/>
  <c r="I46" i="7" l="1"/>
  <c r="F46" i="7"/>
  <c r="H46" i="7" s="1"/>
  <c r="AN21" i="6"/>
  <c r="P39" i="6"/>
  <c r="AJ91" i="6"/>
  <c r="AN68" i="6"/>
  <c r="T81" i="6"/>
  <c r="AB72" i="6"/>
  <c r="AI81" i="6"/>
  <c r="AN80" i="6"/>
  <c r="Y89" i="6"/>
  <c r="AD91" i="6"/>
  <c r="AD93" i="6" s="1"/>
  <c r="N8" i="7"/>
  <c r="B69" i="7"/>
  <c r="AA21" i="7"/>
  <c r="AC21" i="7" s="1"/>
  <c r="AK69" i="7"/>
  <c r="AC40" i="7"/>
  <c r="AO41" i="7"/>
  <c r="E46" i="7"/>
  <c r="X46" i="7"/>
  <c r="Z46" i="7" s="1"/>
  <c r="AO50" i="7"/>
  <c r="C51" i="7"/>
  <c r="AF56" i="7"/>
  <c r="U61" i="7"/>
  <c r="AJ61" i="7"/>
  <c r="K68" i="7"/>
  <c r="U68" i="7"/>
  <c r="U9" i="7"/>
  <c r="W9" i="7" s="1"/>
  <c r="AA9" i="7"/>
  <c r="W68" i="7"/>
  <c r="G24" i="6"/>
  <c r="T26" i="6"/>
  <c r="V26" i="6" s="1"/>
  <c r="AJ93" i="6"/>
  <c r="F25" i="6"/>
  <c r="G25" i="6" s="1"/>
  <c r="AN23" i="6"/>
  <c r="V72" i="6"/>
  <c r="AN74" i="6"/>
  <c r="AN83" i="6"/>
  <c r="S89" i="6"/>
  <c r="O8" i="7"/>
  <c r="Q8" i="7" s="1"/>
  <c r="AD46" i="7"/>
  <c r="E51" i="7"/>
  <c r="H61" i="7"/>
  <c r="AG68" i="7"/>
  <c r="AD9" i="7"/>
  <c r="S70" i="7"/>
  <c r="S79" i="7" s="1"/>
  <c r="N26" i="6"/>
  <c r="AF81" i="6"/>
  <c r="O91" i="6"/>
  <c r="O93" i="6" s="1"/>
  <c r="R91" i="6"/>
  <c r="S69" i="7"/>
  <c r="AE69" i="7"/>
  <c r="E42" i="7"/>
  <c r="AJ46" i="7"/>
  <c r="AL46" i="7" s="1"/>
  <c r="F61" i="7"/>
  <c r="T56" i="7"/>
  <c r="AG61" i="7"/>
  <c r="AF68" i="7"/>
  <c r="H68" i="7"/>
  <c r="R68" i="7"/>
  <c r="E73" i="7"/>
  <c r="W78" i="7"/>
  <c r="AC78" i="7"/>
  <c r="R9" i="7"/>
  <c r="T9" i="7" s="1"/>
  <c r="X9" i="7"/>
  <c r="AG9" i="7"/>
  <c r="G34" i="6"/>
  <c r="G48" i="6"/>
  <c r="J33" i="6"/>
  <c r="AM40" i="6"/>
  <c r="AN40" i="6" s="1"/>
  <c r="G57" i="6"/>
  <c r="M46" i="6"/>
  <c r="K72" i="6"/>
  <c r="M72" i="6" s="1"/>
  <c r="M25" i="6"/>
  <c r="J57" i="6"/>
  <c r="J72" i="6"/>
  <c r="AM33" i="6"/>
  <c r="D49" i="6"/>
  <c r="AM70" i="6"/>
  <c r="AN70" i="6" s="1"/>
  <c r="AO74" i="7"/>
  <c r="K78" i="7"/>
  <c r="AO57" i="7"/>
  <c r="AO58" i="7"/>
  <c r="AO27" i="7"/>
  <c r="J69" i="7"/>
  <c r="J70" i="7" s="1"/>
  <c r="AO32" i="7"/>
  <c r="AO20" i="7"/>
  <c r="AO49" i="7"/>
  <c r="AO48" i="7"/>
  <c r="H78" i="7"/>
  <c r="G69" i="7"/>
  <c r="AO36" i="7"/>
  <c r="AO38" i="7"/>
  <c r="AO40" i="7"/>
  <c r="AN61" i="7"/>
  <c r="AO44" i="7"/>
  <c r="AN51" i="7"/>
  <c r="AO28" i="7"/>
  <c r="AN24" i="7"/>
  <c r="J19" i="6"/>
  <c r="D40" i="6"/>
  <c r="D46" i="6"/>
  <c r="E81" i="6"/>
  <c r="L16" i="6"/>
  <c r="M16" i="6" s="1"/>
  <c r="AL33" i="6"/>
  <c r="J48" i="6"/>
  <c r="H26" i="6"/>
  <c r="C58" i="6"/>
  <c r="AM46" i="6"/>
  <c r="AM52" i="6"/>
  <c r="AO53" i="6" s="1"/>
  <c r="AL25" i="6"/>
  <c r="J16" i="6"/>
  <c r="AL19" i="6"/>
  <c r="M19" i="6"/>
  <c r="AM34" i="6"/>
  <c r="AN34" i="6" s="1"/>
  <c r="H39" i="6"/>
  <c r="J46" i="6"/>
  <c r="J54" i="6"/>
  <c r="AM63" i="6"/>
  <c r="AN63" i="6" s="1"/>
  <c r="E64" i="6"/>
  <c r="AL64" i="6" s="1"/>
  <c r="G75" i="6"/>
  <c r="G85" i="6"/>
  <c r="E90" i="6"/>
  <c r="L17" i="6"/>
  <c r="L26" i="6" s="1"/>
  <c r="M26" i="6" s="1"/>
  <c r="G33" i="6"/>
  <c r="G72" i="6"/>
  <c r="AM19" i="6"/>
  <c r="AN29" i="6"/>
  <c r="K58" i="6"/>
  <c r="M48" i="6"/>
  <c r="D61" i="6"/>
  <c r="C81" i="6"/>
  <c r="AM71" i="6"/>
  <c r="AN71" i="6" s="1"/>
  <c r="AM73" i="6"/>
  <c r="AL75" i="6"/>
  <c r="AM78" i="6"/>
  <c r="AN78" i="6" s="1"/>
  <c r="AM87" i="6"/>
  <c r="AN87" i="6" s="1"/>
  <c r="AN11" i="7"/>
  <c r="AG10" i="7"/>
  <c r="AI10" i="7" s="1"/>
  <c r="AA10" i="7"/>
  <c r="AC10" i="7" s="1"/>
  <c r="U10" i="7"/>
  <c r="W10" i="7" s="1"/>
  <c r="O10" i="7"/>
  <c r="Q10" i="7" s="1"/>
  <c r="AJ10" i="7"/>
  <c r="AL10" i="7" s="1"/>
  <c r="X10" i="7"/>
  <c r="Z10" i="7" s="1"/>
  <c r="R10" i="7"/>
  <c r="T10" i="7" s="1"/>
  <c r="F10" i="7"/>
  <c r="H10" i="7" s="1"/>
  <c r="AD10" i="7"/>
  <c r="AF10" i="7" s="1"/>
  <c r="L10" i="7"/>
  <c r="N10" i="7" s="1"/>
  <c r="V70" i="7"/>
  <c r="V79" i="7" s="1"/>
  <c r="O22" i="7"/>
  <c r="N22" i="7"/>
  <c r="C11" i="7"/>
  <c r="F9" i="7"/>
  <c r="AM9" i="7" s="1"/>
  <c r="AO9" i="7" s="1"/>
  <c r="E9" i="7"/>
  <c r="AD18" i="7"/>
  <c r="AJ29" i="7"/>
  <c r="AL29" i="7" s="1"/>
  <c r="AD29" i="7"/>
  <c r="AF29" i="7" s="1"/>
  <c r="X29" i="7"/>
  <c r="Z29" i="7" s="1"/>
  <c r="R29" i="7"/>
  <c r="L29" i="7"/>
  <c r="H29" i="7"/>
  <c r="AA29" i="7"/>
  <c r="AC29" i="7" s="1"/>
  <c r="O30" i="7"/>
  <c r="Q30" i="7" s="1"/>
  <c r="AM33" i="7"/>
  <c r="AO33" i="7" s="1"/>
  <c r="H33" i="7"/>
  <c r="AI68" i="7"/>
  <c r="AA68" i="7"/>
  <c r="AC65" i="7"/>
  <c r="AC68" i="7" s="1"/>
  <c r="C24" i="7"/>
  <c r="E24" i="7" s="1"/>
  <c r="O15" i="7"/>
  <c r="U15" i="7"/>
  <c r="AG15" i="7"/>
  <c r="F18" i="7"/>
  <c r="AO37" i="7"/>
  <c r="AM45" i="7"/>
  <c r="AO45" i="7" s="1"/>
  <c r="AG47" i="7"/>
  <c r="AI47" i="7" s="1"/>
  <c r="AA47" i="7"/>
  <c r="AC47" i="7" s="1"/>
  <c r="U47" i="7"/>
  <c r="W47" i="7" s="1"/>
  <c r="O47" i="7"/>
  <c r="H47" i="7"/>
  <c r="AJ47" i="7"/>
  <c r="AL47" i="7" s="1"/>
  <c r="X47" i="7"/>
  <c r="Z47" i="7" s="1"/>
  <c r="L47" i="7"/>
  <c r="M68" i="7"/>
  <c r="M69" i="7" s="1"/>
  <c r="M70" i="7" s="1"/>
  <c r="M79" i="7" s="1"/>
  <c r="N64" i="7"/>
  <c r="P70" i="7"/>
  <c r="P79" i="7" s="1"/>
  <c r="E15" i="7"/>
  <c r="O16" i="7"/>
  <c r="Q16" i="7" s="1"/>
  <c r="U16" i="7"/>
  <c r="W16" i="7" s="1"/>
  <c r="AA16" i="7"/>
  <c r="AC16" i="7" s="1"/>
  <c r="AG16" i="7"/>
  <c r="AI16" i="7" s="1"/>
  <c r="AG17" i="7"/>
  <c r="U17" i="7"/>
  <c r="O17" i="7"/>
  <c r="AD17" i="7"/>
  <c r="U18" i="7"/>
  <c r="X19" i="7"/>
  <c r="Z19" i="7" s="1"/>
  <c r="AG19" i="7"/>
  <c r="AI19" i="7" s="1"/>
  <c r="AD21" i="7"/>
  <c r="Y69" i="7"/>
  <c r="Y70" i="7" s="1"/>
  <c r="Y79" i="7" s="1"/>
  <c r="AL26" i="7"/>
  <c r="U29" i="7"/>
  <c r="W29" i="7" s="1"/>
  <c r="AG29" i="7"/>
  <c r="AI29" i="7" s="1"/>
  <c r="U30" i="7"/>
  <c r="W30" i="7" s="1"/>
  <c r="AJ34" i="7"/>
  <c r="AL34" i="7" s="1"/>
  <c r="AD34" i="7"/>
  <c r="AF34" i="7" s="1"/>
  <c r="X34" i="7"/>
  <c r="Z34" i="7" s="1"/>
  <c r="R34" i="7"/>
  <c r="T34" i="7" s="1"/>
  <c r="L34" i="7"/>
  <c r="N34" i="7" s="1"/>
  <c r="H34" i="7"/>
  <c r="O34" i="7"/>
  <c r="Q34" i="7" s="1"/>
  <c r="AA34" i="7"/>
  <c r="AC34" i="7" s="1"/>
  <c r="AJ35" i="7"/>
  <c r="AL35" i="7" s="1"/>
  <c r="AD35" i="7"/>
  <c r="AF35" i="7" s="1"/>
  <c r="X35" i="7"/>
  <c r="Z35" i="7" s="1"/>
  <c r="E35" i="7"/>
  <c r="C42" i="7"/>
  <c r="Z51" i="7"/>
  <c r="E47" i="7"/>
  <c r="AM61" i="7"/>
  <c r="E56" i="7"/>
  <c r="AM56" i="7"/>
  <c r="AA61" i="7"/>
  <c r="AC56" i="7"/>
  <c r="AO59" i="7"/>
  <c r="AO60" i="7"/>
  <c r="AO67" i="7"/>
  <c r="H73" i="7"/>
  <c r="N73" i="7"/>
  <c r="N78" i="7"/>
  <c r="Z78" i="7"/>
  <c r="AI78" i="7"/>
  <c r="AA18" i="7"/>
  <c r="E18" i="7"/>
  <c r="O29" i="7"/>
  <c r="AJ30" i="7"/>
  <c r="AL30" i="7" s="1"/>
  <c r="AD30" i="7"/>
  <c r="AF30" i="7" s="1"/>
  <c r="X30" i="7"/>
  <c r="Z30" i="7" s="1"/>
  <c r="R30" i="7"/>
  <c r="T30" i="7" s="1"/>
  <c r="L30" i="7"/>
  <c r="N30" i="7" s="1"/>
  <c r="H30" i="7"/>
  <c r="E30" i="7"/>
  <c r="AA30" i="7"/>
  <c r="AC30" i="7" s="1"/>
  <c r="AA15" i="7"/>
  <c r="AG18" i="7"/>
  <c r="E29" i="7"/>
  <c r="AM39" i="7"/>
  <c r="AO39" i="7" s="1"/>
  <c r="R47" i="7"/>
  <c r="AM73" i="7"/>
  <c r="AO73" i="7" s="1"/>
  <c r="F15" i="7"/>
  <c r="L15" i="7"/>
  <c r="R15" i="7"/>
  <c r="X15" i="7"/>
  <c r="AD15" i="7"/>
  <c r="AJ15" i="7"/>
  <c r="X18" i="7"/>
  <c r="R19" i="7"/>
  <c r="T19" i="7" s="1"/>
  <c r="AG22" i="7"/>
  <c r="AI22" i="7" s="1"/>
  <c r="AA22" i="7"/>
  <c r="AC22" i="7" s="1"/>
  <c r="F22" i="7"/>
  <c r="H22" i="7" s="1"/>
  <c r="X22" i="7"/>
  <c r="Z22" i="7" s="1"/>
  <c r="AJ22" i="7"/>
  <c r="AL22" i="7" s="1"/>
  <c r="AM23" i="7"/>
  <c r="AO23" i="7" s="1"/>
  <c r="D69" i="7"/>
  <c r="AB69" i="7"/>
  <c r="AB70" i="7" s="1"/>
  <c r="AB79" i="7" s="1"/>
  <c r="AN42" i="7"/>
  <c r="E34" i="7"/>
  <c r="AG35" i="7"/>
  <c r="AI35" i="7" s="1"/>
  <c r="AC44" i="7"/>
  <c r="AJ51" i="7"/>
  <c r="AF46" i="7"/>
  <c r="AD47" i="7"/>
  <c r="AF47" i="7" s="1"/>
  <c r="W61" i="7"/>
  <c r="AO53" i="7"/>
  <c r="C61" i="7"/>
  <c r="E61" i="7" s="1"/>
  <c r="AO55" i="7"/>
  <c r="T68" i="7"/>
  <c r="AN64" i="7"/>
  <c r="C68" i="7"/>
  <c r="E68" i="7" s="1"/>
  <c r="AM65" i="7"/>
  <c r="Q68" i="7"/>
  <c r="U26" i="7"/>
  <c r="AA26" i="7"/>
  <c r="AG26" i="7"/>
  <c r="O31" i="7"/>
  <c r="Q31" i="7" s="1"/>
  <c r="U31" i="7"/>
  <c r="W31" i="7" s="1"/>
  <c r="AA31" i="7"/>
  <c r="AC31" i="7" s="1"/>
  <c r="AG31" i="7"/>
  <c r="AI31" i="7" s="1"/>
  <c r="X51" i="7"/>
  <c r="Z61" i="7"/>
  <c r="O61" i="7"/>
  <c r="Q56" i="7"/>
  <c r="L68" i="7"/>
  <c r="AM77" i="7"/>
  <c r="AO77" i="7" s="1"/>
  <c r="C78" i="7"/>
  <c r="E78" i="7" s="1"/>
  <c r="AL51" i="7"/>
  <c r="AL61" i="7"/>
  <c r="AO56" i="7"/>
  <c r="X61" i="7"/>
  <c r="AM66" i="7"/>
  <c r="AO66" i="7" s="1"/>
  <c r="N66" i="7"/>
  <c r="Y68" i="7"/>
  <c r="AN78" i="7"/>
  <c r="U46" i="7"/>
  <c r="W46" i="7" s="1"/>
  <c r="W51" i="7" s="1"/>
  <c r="AA46" i="7"/>
  <c r="AG46" i="7"/>
  <c r="N65" i="7"/>
  <c r="Z65" i="7"/>
  <c r="Z68" i="7" s="1"/>
  <c r="AL65" i="7"/>
  <c r="AL68" i="7" s="1"/>
  <c r="R93" i="6"/>
  <c r="Y26" i="6"/>
  <c r="I39" i="6"/>
  <c r="J31" i="6"/>
  <c r="E58" i="6"/>
  <c r="AL46" i="6"/>
  <c r="G46" i="6"/>
  <c r="AM50" i="6"/>
  <c r="B50" i="6"/>
  <c r="AL50" i="6" s="1"/>
  <c r="AM67" i="6"/>
  <c r="AN67" i="6" s="1"/>
  <c r="L90" i="6"/>
  <c r="M89" i="6"/>
  <c r="F16" i="6"/>
  <c r="G16" i="6" s="1"/>
  <c r="I17" i="6"/>
  <c r="I25" i="6"/>
  <c r="J25" i="6" s="1"/>
  <c r="P26" i="6"/>
  <c r="AM31" i="6"/>
  <c r="AN31" i="6" s="1"/>
  <c r="D31" i="6"/>
  <c r="D33" i="6"/>
  <c r="K39" i="6"/>
  <c r="M39" i="6" s="1"/>
  <c r="D43" i="6"/>
  <c r="G47" i="6"/>
  <c r="AL48" i="6"/>
  <c r="AM66" i="6"/>
  <c r="AN66" i="6" s="1"/>
  <c r="D67" i="6"/>
  <c r="D70" i="6"/>
  <c r="X91" i="6"/>
  <c r="X93" i="6" s="1"/>
  <c r="D15" i="6"/>
  <c r="C16" i="6"/>
  <c r="B17" i="6"/>
  <c r="V17" i="6"/>
  <c r="G19" i="6"/>
  <c r="D20" i="6"/>
  <c r="P25" i="6"/>
  <c r="AB26" i="6"/>
  <c r="D29" i="6"/>
  <c r="F39" i="6"/>
  <c r="AO40" i="6"/>
  <c r="D34" i="6"/>
  <c r="AL37" i="6"/>
  <c r="AM41" i="6"/>
  <c r="AN41" i="6" s="1"/>
  <c r="H58" i="6"/>
  <c r="S46" i="6"/>
  <c r="AM47" i="6"/>
  <c r="AN47" i="6" s="1"/>
  <c r="D55" i="6"/>
  <c r="AM38" i="6"/>
  <c r="D38" i="6"/>
  <c r="B39" i="6"/>
  <c r="I81" i="6"/>
  <c r="J81" i="6" s="1"/>
  <c r="J66" i="6"/>
  <c r="B81" i="6"/>
  <c r="Y17" i="6"/>
  <c r="G37" i="6"/>
  <c r="C39" i="6"/>
  <c r="J43" i="6"/>
  <c r="AM43" i="6"/>
  <c r="AN43" i="6" s="1"/>
  <c r="AM15" i="6"/>
  <c r="AN15" i="6" s="1"/>
  <c r="E39" i="6"/>
  <c r="G29" i="6"/>
  <c r="AM37" i="6"/>
  <c r="L58" i="6"/>
  <c r="AM48" i="6"/>
  <c r="D48" i="6"/>
  <c r="AM54" i="6"/>
  <c r="AN54" i="6" s="1"/>
  <c r="AA91" i="6"/>
  <c r="AA93" i="6" s="1"/>
  <c r="W81" i="6"/>
  <c r="V81" i="6"/>
  <c r="N57" i="6"/>
  <c r="V64" i="6"/>
  <c r="F81" i="6"/>
  <c r="D72" i="6"/>
  <c r="AM75" i="6"/>
  <c r="AN79" i="6"/>
  <c r="AL89" i="6"/>
  <c r="AL90" i="6" s="1"/>
  <c r="U91" i="6"/>
  <c r="V90" i="6"/>
  <c r="AG91" i="6"/>
  <c r="AG93" i="6" s="1"/>
  <c r="C64" i="6"/>
  <c r="AM60" i="6"/>
  <c r="AN60" i="6" s="1"/>
  <c r="AL73" i="6"/>
  <c r="AM55" i="6"/>
  <c r="AN55" i="6" s="1"/>
  <c r="AM57" i="6"/>
  <c r="AM72" i="6"/>
  <c r="AM86" i="6"/>
  <c r="AN86" i="6" s="1"/>
  <c r="B90" i="6"/>
  <c r="N90" i="6"/>
  <c r="Z90" i="6"/>
  <c r="D71" i="6"/>
  <c r="Y72" i="6"/>
  <c r="S90" i="6"/>
  <c r="AE90" i="6"/>
  <c r="AM68" i="7" l="1"/>
  <c r="AD42" i="7"/>
  <c r="O11" i="7"/>
  <c r="AF51" i="7"/>
  <c r="AM78" i="7"/>
  <c r="AD51" i="7"/>
  <c r="D70" i="7"/>
  <c r="E69" i="7"/>
  <c r="AM18" i="7"/>
  <c r="AO18" i="7" s="1"/>
  <c r="J79" i="7"/>
  <c r="J80" i="7" s="1"/>
  <c r="J71" i="7"/>
  <c r="H91" i="6"/>
  <c r="H93" i="6" s="1"/>
  <c r="AN73" i="6"/>
  <c r="AL39" i="6"/>
  <c r="J39" i="6"/>
  <c r="AN19" i="6"/>
  <c r="N72" i="6"/>
  <c r="P72" i="6" s="1"/>
  <c r="K81" i="6"/>
  <c r="M81" i="6" s="1"/>
  <c r="M58" i="6"/>
  <c r="D81" i="6"/>
  <c r="AN52" i="6"/>
  <c r="AO65" i="7"/>
  <c r="AO78" i="7"/>
  <c r="G70" i="7"/>
  <c r="AM17" i="7"/>
  <c r="AO17" i="7" s="1"/>
  <c r="X42" i="7"/>
  <c r="AM30" i="7"/>
  <c r="AO30" i="7" s="1"/>
  <c r="Z42" i="7"/>
  <c r="AF42" i="7"/>
  <c r="G81" i="6"/>
  <c r="B58" i="6"/>
  <c r="D58" i="6" s="1"/>
  <c r="G39" i="6"/>
  <c r="AN46" i="6"/>
  <c r="M17" i="6"/>
  <c r="AN50" i="6"/>
  <c r="AM81" i="6"/>
  <c r="AN75" i="6"/>
  <c r="E91" i="6"/>
  <c r="D50" i="6"/>
  <c r="AC26" i="7"/>
  <c r="AC42" i="7" s="1"/>
  <c r="AA42" i="7"/>
  <c r="AD24" i="7"/>
  <c r="AD69" i="7" s="1"/>
  <c r="AF15" i="7"/>
  <c r="O51" i="7"/>
  <c r="Q47" i="7"/>
  <c r="Q51" i="7" s="1"/>
  <c r="U51" i="7"/>
  <c r="AA11" i="7"/>
  <c r="AC9" i="7"/>
  <c r="Q22" i="7"/>
  <c r="K46" i="7"/>
  <c r="I51" i="7"/>
  <c r="K51" i="7" s="1"/>
  <c r="AN68" i="7"/>
  <c r="AN69" i="7" s="1"/>
  <c r="AN70" i="7" s="1"/>
  <c r="AN79" i="7" s="1"/>
  <c r="AO64" i="7"/>
  <c r="AO68" i="7" s="1"/>
  <c r="R51" i="7"/>
  <c r="T47" i="7"/>
  <c r="T51" i="7" s="1"/>
  <c r="AM16" i="7"/>
  <c r="AO16" i="7" s="1"/>
  <c r="C69" i="7"/>
  <c r="C70" i="7" s="1"/>
  <c r="C71" i="7" s="1"/>
  <c r="AM31" i="7"/>
  <c r="AO31" i="7" s="1"/>
  <c r="AG11" i="7"/>
  <c r="AI9" i="7"/>
  <c r="T8" i="7"/>
  <c r="R11" i="7"/>
  <c r="AG51" i="7"/>
  <c r="AI46" i="7"/>
  <c r="AI51" i="7" s="1"/>
  <c r="R24" i="7"/>
  <c r="T15" i="7"/>
  <c r="AM19" i="7"/>
  <c r="AO19" i="7" s="1"/>
  <c r="AA24" i="7"/>
  <c r="AC15" i="7"/>
  <c r="AC24" i="7" s="1"/>
  <c r="AM34" i="7"/>
  <c r="AO34" i="7" s="1"/>
  <c r="AF21" i="7"/>
  <c r="AG21" i="7"/>
  <c r="L11" i="7"/>
  <c r="N68" i="7"/>
  <c r="F51" i="7"/>
  <c r="H51" i="7" s="1"/>
  <c r="AG24" i="7"/>
  <c r="AI15" i="7"/>
  <c r="L42" i="7"/>
  <c r="N29" i="7"/>
  <c r="N42" i="7" s="1"/>
  <c r="AF9" i="7"/>
  <c r="AD11" i="7"/>
  <c r="K10" i="7"/>
  <c r="F24" i="7"/>
  <c r="H24" i="7" s="1"/>
  <c r="H15" i="7"/>
  <c r="AL42" i="7"/>
  <c r="N47" i="7"/>
  <c r="N51" i="7" s="1"/>
  <c r="L51" i="7"/>
  <c r="AM47" i="7"/>
  <c r="AO47" i="7" s="1"/>
  <c r="O24" i="7"/>
  <c r="Q15" i="7"/>
  <c r="AL9" i="7"/>
  <c r="AJ11" i="7"/>
  <c r="Q11" i="7"/>
  <c r="U42" i="7"/>
  <c r="W26" i="7"/>
  <c r="W42" i="7" s="1"/>
  <c r="AO61" i="7"/>
  <c r="X24" i="7"/>
  <c r="X69" i="7" s="1"/>
  <c r="Z15" i="7"/>
  <c r="Z24" i="7" s="1"/>
  <c r="AM26" i="7"/>
  <c r="AM15" i="7"/>
  <c r="Q29" i="7"/>
  <c r="Q42" i="7" s="1"/>
  <c r="O42" i="7"/>
  <c r="H35" i="7"/>
  <c r="AM35" i="7"/>
  <c r="AO35" i="7" s="1"/>
  <c r="H9" i="7"/>
  <c r="F11" i="7"/>
  <c r="AA51" i="7"/>
  <c r="AC46" i="7"/>
  <c r="AC51" i="7" s="1"/>
  <c r="AM46" i="7"/>
  <c r="AG42" i="7"/>
  <c r="AI26" i="7"/>
  <c r="AI42" i="7" s="1"/>
  <c r="F42" i="7"/>
  <c r="H42" i="7" s="1"/>
  <c r="AL15" i="7"/>
  <c r="L24" i="7"/>
  <c r="L69" i="7" s="1"/>
  <c r="N15" i="7"/>
  <c r="N24" i="7" s="1"/>
  <c r="N69" i="7" s="1"/>
  <c r="I24" i="7"/>
  <c r="K24" i="7" s="1"/>
  <c r="I42" i="7"/>
  <c r="K42" i="7" s="1"/>
  <c r="AJ42" i="7"/>
  <c r="W15" i="7"/>
  <c r="AM29" i="7"/>
  <c r="AO29" i="7" s="1"/>
  <c r="R42" i="7"/>
  <c r="T29" i="7"/>
  <c r="T42" i="7" s="1"/>
  <c r="X11" i="7"/>
  <c r="Z9" i="7"/>
  <c r="E11" i="7"/>
  <c r="C12" i="7"/>
  <c r="AM10" i="7"/>
  <c r="AO10" i="7" s="1"/>
  <c r="D64" i="6"/>
  <c r="Q57" i="6"/>
  <c r="P57" i="6"/>
  <c r="AM39" i="6"/>
  <c r="D39" i="6"/>
  <c r="D16" i="6"/>
  <c r="AM16" i="6"/>
  <c r="AB90" i="6"/>
  <c r="I26" i="6"/>
  <c r="J17" i="6"/>
  <c r="M90" i="6"/>
  <c r="AM25" i="6"/>
  <c r="AN25" i="6" s="1"/>
  <c r="U93" i="6"/>
  <c r="B26" i="6"/>
  <c r="P90" i="6"/>
  <c r="AN48" i="6"/>
  <c r="N58" i="6"/>
  <c r="P58" i="6" s="1"/>
  <c r="Y81" i="6"/>
  <c r="C17" i="6"/>
  <c r="D79" i="7" l="1"/>
  <c r="D80" i="7" s="1"/>
  <c r="D71" i="7"/>
  <c r="Z69" i="7"/>
  <c r="AN39" i="6"/>
  <c r="N81" i="6"/>
  <c r="N91" i="6" s="1"/>
  <c r="Q72" i="6"/>
  <c r="AL72" i="6" s="1"/>
  <c r="AL81" i="6" s="1"/>
  <c r="AN81" i="6" s="1"/>
  <c r="K91" i="6"/>
  <c r="B91" i="6"/>
  <c r="B93" i="6" s="1"/>
  <c r="G79" i="7"/>
  <c r="G80" i="7" s="1"/>
  <c r="G71" i="7"/>
  <c r="O69" i="7"/>
  <c r="O70" i="7" s="1"/>
  <c r="O79" i="7" s="1"/>
  <c r="AG69" i="7"/>
  <c r="AG70" i="7" s="1"/>
  <c r="R69" i="7"/>
  <c r="R70" i="7" s="1"/>
  <c r="O71" i="7"/>
  <c r="C79" i="7"/>
  <c r="C80" i="7" s="1"/>
  <c r="AJ12" i="7"/>
  <c r="X12" i="7"/>
  <c r="L12" i="7"/>
  <c r="AD12" i="7"/>
  <c r="F12" i="7"/>
  <c r="AG12" i="7"/>
  <c r="U12" i="7"/>
  <c r="I12" i="7"/>
  <c r="R12" i="7"/>
  <c r="AA12" i="7"/>
  <c r="O12" i="7"/>
  <c r="AO15" i="7"/>
  <c r="AC69" i="7"/>
  <c r="T11" i="7"/>
  <c r="AC11" i="7"/>
  <c r="AF24" i="7"/>
  <c r="AF69" i="7" s="1"/>
  <c r="X70" i="7"/>
  <c r="Z11" i="7"/>
  <c r="AM42" i="7"/>
  <c r="AO26" i="7"/>
  <c r="AO42" i="7" s="1"/>
  <c r="AL11" i="7"/>
  <c r="AJ21" i="7"/>
  <c r="AI21" i="7"/>
  <c r="AI24" i="7" s="1"/>
  <c r="AI69" i="7" s="1"/>
  <c r="AM21" i="7"/>
  <c r="AO21" i="7" s="1"/>
  <c r="AA69" i="7"/>
  <c r="AA70" i="7" s="1"/>
  <c r="T22" i="7"/>
  <c r="AM22" i="7"/>
  <c r="AO22" i="7" s="1"/>
  <c r="K69" i="7"/>
  <c r="H11" i="7"/>
  <c r="F69" i="7"/>
  <c r="K11" i="7"/>
  <c r="I69" i="7"/>
  <c r="I70" i="7" s="1"/>
  <c r="AO46" i="7"/>
  <c r="AO51" i="7" s="1"/>
  <c r="AM51" i="7"/>
  <c r="Q24" i="7"/>
  <c r="Q69" i="7" s="1"/>
  <c r="AD70" i="7"/>
  <c r="AF11" i="7"/>
  <c r="L70" i="7"/>
  <c r="N11" i="7"/>
  <c r="T24" i="7"/>
  <c r="T69" i="7" s="1"/>
  <c r="U11" i="7"/>
  <c r="AM11" i="7" s="1"/>
  <c r="W8" i="7"/>
  <c r="AM8" i="7"/>
  <c r="AO8" i="7" s="1"/>
  <c r="AI11" i="7"/>
  <c r="S57" i="6"/>
  <c r="T57" i="6"/>
  <c r="Q58" i="6"/>
  <c r="S58" i="6" s="1"/>
  <c r="C26" i="6"/>
  <c r="D17" i="6"/>
  <c r="J26" i="6"/>
  <c r="AM12" i="7" l="1"/>
  <c r="Q81" i="6"/>
  <c r="S81" i="6" s="1"/>
  <c r="S72" i="6"/>
  <c r="AN72" i="6"/>
  <c r="K94" i="6"/>
  <c r="M94" i="6" s="1"/>
  <c r="M96" i="6" s="1"/>
  <c r="K93" i="6"/>
  <c r="F70" i="7"/>
  <c r="F79" i="7" s="1"/>
  <c r="F80" i="7" s="1"/>
  <c r="H69" i="7"/>
  <c r="AA79" i="7"/>
  <c r="AA71" i="7"/>
  <c r="I71" i="7"/>
  <c r="I79" i="7"/>
  <c r="I80" i="7" s="1"/>
  <c r="AD79" i="7"/>
  <c r="AD71" i="7"/>
  <c r="AO11" i="7"/>
  <c r="F71" i="7"/>
  <c r="W11" i="7"/>
  <c r="AO24" i="7"/>
  <c r="AO69" i="7" s="1"/>
  <c r="R79" i="7"/>
  <c r="R71" i="7"/>
  <c r="L79" i="7"/>
  <c r="L71" i="7"/>
  <c r="AG71" i="7"/>
  <c r="AG79" i="7"/>
  <c r="W22" i="7"/>
  <c r="W24" i="7" s="1"/>
  <c r="W69" i="7" s="1"/>
  <c r="U24" i="7"/>
  <c r="U69" i="7" s="1"/>
  <c r="U70" i="7" s="1"/>
  <c r="AL21" i="7"/>
  <c r="AL24" i="7" s="1"/>
  <c r="AL69" i="7" s="1"/>
  <c r="AJ24" i="7"/>
  <c r="AJ69" i="7" s="1"/>
  <c r="AJ70" i="7" s="1"/>
  <c r="X79" i="7"/>
  <c r="X71" i="7"/>
  <c r="AM24" i="7"/>
  <c r="AM69" i="7" s="1"/>
  <c r="AM70" i="7" s="1"/>
  <c r="AM79" i="7" s="1"/>
  <c r="W57" i="6"/>
  <c r="V57" i="6"/>
  <c r="T58" i="6"/>
  <c r="P91" i="6"/>
  <c r="N93" i="6"/>
  <c r="Q16" i="6" s="1"/>
  <c r="D26" i="6"/>
  <c r="Q91" i="6" l="1"/>
  <c r="S91" i="6" s="1"/>
  <c r="U71" i="7"/>
  <c r="U79" i="7"/>
  <c r="AJ79" i="7"/>
  <c r="AJ71" i="7"/>
  <c r="AM71" i="7"/>
  <c r="Y57" i="6"/>
  <c r="Z57" i="6"/>
  <c r="W58" i="6"/>
  <c r="S16" i="6"/>
  <c r="Q17" i="6"/>
  <c r="AL16" i="6"/>
  <c r="AN16" i="6" s="1"/>
  <c r="V58" i="6"/>
  <c r="T91" i="6"/>
  <c r="Y58" i="6" l="1"/>
  <c r="W91" i="6"/>
  <c r="Q26" i="6"/>
  <c r="S17" i="6"/>
  <c r="AC57" i="6"/>
  <c r="AB57" i="6"/>
  <c r="Z58" i="6"/>
  <c r="T93" i="6"/>
  <c r="V91" i="6"/>
  <c r="Q93" i="6" l="1"/>
  <c r="S26" i="6"/>
  <c r="AF57" i="6"/>
  <c r="AC58" i="6"/>
  <c r="AC91" i="6" s="1"/>
  <c r="W93" i="6"/>
  <c r="Y93" i="6" s="1"/>
  <c r="Y91" i="6"/>
  <c r="AB58" i="6"/>
  <c r="Z91" i="6"/>
  <c r="Z93" i="6" l="1"/>
  <c r="AB93" i="6" s="1"/>
  <c r="AB91" i="6"/>
  <c r="AI57" i="6"/>
  <c r="AI58" i="6" s="1"/>
  <c r="AI91" i="6" s="1"/>
  <c r="AI93" i="6" s="1"/>
  <c r="AF58" i="6"/>
  <c r="AF91" i="6" s="1"/>
  <c r="AF93" i="6" s="1"/>
  <c r="AE91" i="6"/>
  <c r="AC93" i="6"/>
  <c r="AE93" i="6" s="1"/>
  <c r="AL57" i="6" l="1"/>
  <c r="AL91" i="6"/>
  <c r="AL58" i="6" l="1"/>
  <c r="AN57" i="6"/>
  <c r="L62" i="6" l="1"/>
  <c r="M62" i="6" l="1"/>
  <c r="L64" i="6"/>
  <c r="L91" i="6" l="1"/>
  <c r="M64" i="6"/>
  <c r="I61" i="6" l="1"/>
  <c r="I44" i="6"/>
  <c r="M91" i="6"/>
  <c r="L93" i="6"/>
  <c r="AM61" i="6" l="1"/>
  <c r="AN61" i="6" s="1"/>
  <c r="J61" i="6"/>
  <c r="J44" i="6"/>
  <c r="AM44" i="6"/>
  <c r="AN44" i="6" s="1"/>
  <c r="I58" i="6"/>
  <c r="J58" i="6" s="1"/>
  <c r="I62" i="6"/>
  <c r="J62" i="6" s="1"/>
  <c r="I64" i="6" l="1"/>
  <c r="J64" i="6" s="1"/>
  <c r="I89" i="6" l="1"/>
  <c r="J89" i="6" l="1"/>
  <c r="I90" i="6"/>
  <c r="J90" i="6" l="1"/>
  <c r="I91" i="6"/>
  <c r="I95" i="6" l="1"/>
  <c r="J91" i="6"/>
  <c r="I93" i="6"/>
  <c r="F62" i="6" l="1"/>
  <c r="F49" i="6"/>
  <c r="F89" i="6"/>
  <c r="F94" i="6" l="1"/>
  <c r="AM49" i="6"/>
  <c r="AN49" i="6" s="1"/>
  <c r="F58" i="6"/>
  <c r="G49" i="6"/>
  <c r="G62" i="6"/>
  <c r="AM62" i="6"/>
  <c r="AN62" i="6" s="1"/>
  <c r="F64" i="6"/>
  <c r="G89" i="6"/>
  <c r="F90" i="6"/>
  <c r="F91" i="6" l="1"/>
  <c r="G90" i="6"/>
  <c r="AM58" i="6"/>
  <c r="AN58" i="6" s="1"/>
  <c r="G58" i="6"/>
  <c r="G64" i="6"/>
  <c r="AM64" i="6"/>
  <c r="AN64" i="6" s="1"/>
  <c r="G91" i="6" l="1"/>
  <c r="F95" i="6"/>
  <c r="C85" i="6" l="1"/>
  <c r="AM85" i="6" l="1"/>
  <c r="AN85" i="6" s="1"/>
  <c r="C89" i="6" l="1"/>
  <c r="D89" i="6" l="1"/>
  <c r="AM89" i="6"/>
  <c r="AN89" i="6" s="1"/>
  <c r="C90" i="6"/>
  <c r="C91" i="6" l="1"/>
  <c r="D90" i="6"/>
  <c r="AM90" i="6"/>
  <c r="AN90" i="6" s="1"/>
  <c r="AM91" i="6" l="1"/>
  <c r="AN91" i="6" s="1"/>
  <c r="D91" i="6"/>
  <c r="C93" i="6"/>
  <c r="E14" i="6" l="1"/>
  <c r="F14" i="6" l="1"/>
  <c r="AL14" i="6"/>
  <c r="E17" i="6"/>
  <c r="F17" i="6" l="1"/>
  <c r="AM14" i="6"/>
  <c r="AN14" i="6" s="1"/>
  <c r="G14" i="6"/>
  <c r="E26" i="6"/>
  <c r="E93" i="6" s="1"/>
  <c r="AL17" i="6"/>
  <c r="AL26" i="6" s="1"/>
  <c r="AL93" i="6" s="1"/>
  <c r="AM17" i="6" l="1"/>
  <c r="AN17" i="6" s="1"/>
  <c r="F26" i="6"/>
  <c r="G17" i="6"/>
  <c r="G26" i="6" l="1"/>
  <c r="F93" i="6"/>
  <c r="AM26" i="6"/>
  <c r="AN26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Gerencia Incide</author>
  </authors>
  <commentList>
    <comment ref="AM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incremento 5% sobre ejecutado, se aproximo a 308</t>
        </r>
      </text>
    </comment>
    <comment ref="AM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incremento 5% sobre ejecutado</t>
        </r>
      </text>
    </comment>
    <comment ref="AM1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5%</t>
        </r>
      </text>
    </comment>
    <comment ref="AM15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del 6% sobre presupuestado. Se adicionó medio tiempo Enfermera.
</t>
        </r>
      </text>
    </comment>
    <comment ref="AM16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del 6% sobre presupuestado</t>
        </r>
      </text>
    </comment>
    <comment ref="AM17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del 6% sobre presupuestado</t>
        </r>
      </text>
    </comment>
    <comment ref="AM18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 Cambio de extintores
Capacitación incendios</t>
        </r>
      </text>
    </comment>
    <comment ref="AM19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M20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el 12% sobre presupuestado</t>
        </r>
      </text>
    </comment>
    <comment ref="F21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SST</t>
        </r>
      </text>
    </comment>
    <comment ref="L21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No se paga exógenas.</t>
        </r>
      </text>
    </comment>
    <comment ref="X21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incluye sst</t>
        </r>
      </text>
    </comment>
    <comment ref="AM21" authorId="0" shapeId="0" xr:uid="{00000000-0006-0000-0300-00000D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 NO SE REALIZA INCREMENTO </t>
        </r>
      </text>
    </comment>
    <comment ref="AM22" authorId="0" shapeId="0" xr:uid="{00000000-0006-0000-0300-00000E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6% sobre lo ejecutado</t>
        </r>
      </text>
    </comment>
    <comment ref="AM23" authorId="0" shapeId="0" xr:uid="{00000000-0006-0000-0300-00000F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NO HAY INCREMENTO</t>
        </r>
      </text>
    </comment>
    <comment ref="AM26" authorId="0" shapeId="0" xr:uid="{00000000-0006-0000-0300-000010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incrementa el 6% sobre lo ejecutado</t>
        </r>
      </text>
    </comment>
    <comment ref="AM27" authorId="0" shapeId="0" xr:uid="{00000000-0006-0000-0300-000011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5% sobre lo ejecutado</t>
        </r>
      </text>
    </comment>
    <comment ref="AM28" authorId="0" shapeId="0" xr:uid="{00000000-0006-0000-0300-000012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M29" authorId="0" shapeId="0" xr:uid="{00000000-0006-0000-0300-000013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5% sobre presupuestado, se incluyó valor Dermacenter.</t>
        </r>
      </text>
    </comment>
    <comment ref="AM30" authorId="0" shapeId="0" xr:uid="{00000000-0006-0000-0300-000014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5% sobre presupuestado</t>
        </r>
      </text>
    </comment>
    <comment ref="AM31" authorId="0" shapeId="0" xr:uid="{00000000-0006-0000-0300-000015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5% sobre ejecutado</t>
        </r>
      </text>
    </comment>
    <comment ref="AM32" authorId="0" shapeId="0" xr:uid="{00000000-0006-0000-0300-000016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M33" authorId="0" shapeId="0" xr:uid="{00000000-0006-0000-0300-000017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M34" authorId="0" shapeId="0" xr:uid="{00000000-0006-0000-0300-000018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incremento5% sobre presupuestado</t>
        </r>
      </text>
    </comment>
    <comment ref="AM35" authorId="0" shapeId="0" xr:uid="{00000000-0006-0000-0300-000019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10%. Sobre ejecutado</t>
        </r>
      </text>
    </comment>
    <comment ref="AM36" authorId="0" shapeId="0" xr:uid="{00000000-0006-0000-0300-00001A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M37" authorId="0" shapeId="0" xr:uid="{00000000-0006-0000-0300-00001B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cancela el incremento y retroactivo ene a mar/19</t>
        </r>
      </text>
    </comment>
    <comment ref="AM37" authorId="0" shapeId="0" xr:uid="{00000000-0006-0000-0300-00001C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M38" authorId="0" shapeId="0" xr:uid="{00000000-0006-0000-0300-00001D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M39" authorId="0" shapeId="0" xr:uid="{00000000-0006-0000-0300-00001E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sofware 15% valor total dividido en 12 meses
solicitar cotización fx electronica.</t>
        </r>
      </text>
    </comment>
    <comment ref="C40" authorId="0" shapeId="0" xr:uid="{00000000-0006-0000-0300-00001F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póliza Todo riesgo</t>
        </r>
      </text>
    </comment>
    <comment ref="F40" authorId="0" shapeId="0" xr:uid="{00000000-0006-0000-0300-000020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póliza Todo riesgo</t>
        </r>
      </text>
    </comment>
    <comment ref="AD40" authorId="0" shapeId="0" xr:uid="{00000000-0006-0000-0300-000021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1ra. Cuota póliza activos fijos, poliza adicion contrato batallón; poliza resp. civil1ra.</t>
        </r>
      </text>
    </comment>
    <comment ref="AM40" authorId="0" shapeId="0" xr:uid="{00000000-0006-0000-0300-000022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RCE 2017: 7.500.000
póliza credito: 1.900.000 
poliza Activos: 20.000.000 
cumplimiento: 350.000</t>
        </r>
      </text>
    </comment>
    <comment ref="C41" authorId="0" shapeId="0" xr:uid="{00000000-0006-0000-0300-000023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 firma digital admisiones y facturación por firma digital.</t>
        </r>
      </text>
    </comment>
    <comment ref="I41" authorId="0" shapeId="0" xr:uid="{00000000-0006-0000-0300-000024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camara de comercio</t>
        </r>
      </text>
    </comment>
    <comment ref="R41" authorId="0" shapeId="0" xr:uid="{00000000-0006-0000-0300-000025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firma digital Victor - luz DAry</t>
        </r>
      </text>
    </comment>
    <comment ref="AD41" authorId="0" shapeId="0" xr:uid="{00000000-0006-0000-0300-000026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firma digital Adriana</t>
        </r>
      </text>
    </comment>
    <comment ref="AG41" authorId="0" shapeId="0" xr:uid="{00000000-0006-0000-0300-000027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tasa anual</t>
        </r>
      </text>
    </comment>
    <comment ref="AM41" authorId="0" shapeId="0" xr:uid="{00000000-0006-0000-0300-000028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 camara de comercio, firma y tasa anual</t>
        </r>
      </text>
    </comment>
    <comment ref="AM44" authorId="0" shapeId="0" xr:uid="{00000000-0006-0000-0300-000029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iincremento 10% sobre ejecutado</t>
        </r>
      </text>
    </comment>
    <comment ref="AQ44" authorId="0" shapeId="0" xr:uid="{00000000-0006-0000-0300-00002A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ph metria</t>
        </r>
      </text>
    </comment>
    <comment ref="U45" authorId="0" shapeId="0" xr:uid="{00000000-0006-0000-0300-00002B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arco en C</t>
        </r>
      </text>
    </comment>
    <comment ref="X45" authorId="0" shapeId="0" xr:uid="{00000000-0006-0000-0300-00002C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biomedico y endoscopicos</t>
        </r>
      </text>
    </comment>
    <comment ref="AJ45" authorId="0" shapeId="0" xr:uid="{00000000-0006-0000-0300-00002D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biomedico, endoscopicos y Arco en C</t>
        </r>
      </text>
    </comment>
    <comment ref="AM45" authorId="0" shapeId="0" xr:uid="{00000000-0006-0000-0300-00002E000000}">
      <text>
        <r>
          <rPr>
            <sz val="9"/>
            <color indexed="81"/>
            <rFont val="Tahoma"/>
            <family val="2"/>
          </rPr>
          <t>1.575.000  Rodrigo
7.000.000 Endoscopios
14.046.229Arco en c</t>
        </r>
      </text>
    </comment>
    <comment ref="AM46" authorId="0" shapeId="0" xr:uid="{00000000-0006-0000-0300-00002F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40% según lo ejecutado. Aprobado Dr. Pino.</t>
        </r>
      </text>
    </comment>
    <comment ref="G47" authorId="0" shapeId="0" xr:uid="{00000000-0006-0000-0300-000030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arreglo archivo(papel blacnco)</t>
        </r>
      </text>
    </comment>
    <comment ref="I47" authorId="0" shapeId="0" xr:uid="{00000000-0006-0000-0300-000031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blackout admisiones</t>
        </r>
      </text>
    </comment>
    <comment ref="AM47" authorId="0" shapeId="0" xr:uid="{00000000-0006-0000-0300-000032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4% sobre los 200 de arreglos varios.</t>
        </r>
      </text>
    </comment>
    <comment ref="AM48" authorId="0" shapeId="0" xr:uid="{00000000-0006-0000-0300-000033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M49" authorId="0" shapeId="0" xr:uid="{00000000-0006-0000-0300-000034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M50" authorId="0" shapeId="0" xr:uid="{00000000-0006-0000-0300-000035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incrementó  posibles daños</t>
        </r>
      </text>
    </comment>
    <comment ref="AJ53" authorId="0" shapeId="0" xr:uid="{00000000-0006-0000-0300-000036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detalles gerentes</t>
        </r>
      </text>
    </comment>
    <comment ref="AM53" authorId="0" shapeId="0" xr:uid="{00000000-0006-0000-0300-000037000000}">
      <text>
        <r>
          <rPr>
            <b/>
            <sz val="9"/>
            <color indexed="81"/>
            <rFont val="Tahoma"/>
            <family val="2"/>
          </rPr>
          <t>se mantiene</t>
        </r>
      </text>
    </comment>
    <comment ref="A55" authorId="0" shapeId="0" xr:uid="{00000000-0006-0000-0300-000038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Junio, Cumpleaños Incide y Navidad</t>
        </r>
      </text>
    </comment>
    <comment ref="C55" authorId="0" shapeId="0" xr:uid="{00000000-0006-0000-0300-000039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integración mensual
empleado mes</t>
        </r>
      </text>
    </comment>
    <comment ref="F55" authorId="0" shapeId="0" xr:uid="{00000000-0006-0000-0300-00003A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integración mensual
empleado mes</t>
        </r>
      </text>
    </comment>
    <comment ref="I55" authorId="0" shapeId="0" xr:uid="{00000000-0006-0000-0300-00003B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integración mensual
empleado mes</t>
        </r>
      </text>
    </comment>
    <comment ref="L55" authorId="0" shapeId="0" xr:uid="{00000000-0006-0000-0300-00003C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integración mensual
empleado mes</t>
        </r>
      </text>
    </comment>
    <comment ref="O55" authorId="0" shapeId="0" xr:uid="{00000000-0006-0000-0300-00003D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integración mensual
empleado mes</t>
        </r>
      </text>
    </comment>
    <comment ref="R55" authorId="0" shapeId="0" xr:uid="{00000000-0006-0000-0300-00003E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san pedro
emeplado mes semestre
integracion mensual</t>
        </r>
      </text>
    </comment>
    <comment ref="U55" authorId="0" shapeId="0" xr:uid="{00000000-0006-0000-0300-00003F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san pedro
emeplado mes semestre
integracion mensual</t>
        </r>
      </text>
    </comment>
    <comment ref="X55" authorId="0" shapeId="0" xr:uid="{00000000-0006-0000-0300-000040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cumplealos incide
integracion
emeplado mes</t>
        </r>
      </text>
    </comment>
    <comment ref="AA55" authorId="0" shapeId="0" xr:uid="{00000000-0006-0000-0300-000041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san pedro
emeplado mes semestre
integracion mensual</t>
        </r>
      </text>
    </comment>
    <comment ref="AD55" authorId="0" shapeId="0" xr:uid="{00000000-0006-0000-0300-000042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san pedro
emeplado mes semestre
integracion mensual</t>
        </r>
      </text>
    </comment>
    <comment ref="AG55" authorId="0" shapeId="0" xr:uid="{00000000-0006-0000-0300-000043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san pedro
emeplado mes semestre
integracion mensual</t>
        </r>
      </text>
    </comment>
    <comment ref="AJ55" authorId="0" shapeId="0" xr:uid="{00000000-0006-0000-0300-000044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fiesta incide
regalos hijos
500 emeplado semestral
200 integracion
300 dia medico</t>
        </r>
      </text>
    </comment>
    <comment ref="AM55" authorId="0" shapeId="0" xr:uid="{00000000-0006-0000-0300-000045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
Integración mensual:2.400.000
Emepleadom mes: 2.000.000
San Pedro: 1.600.000
Cumpleaños Incide: 1.200.000
Navidad: 4.600.000
Día Secretario:200.000
Día Enfermero:200.00
Día medico: 300.000
Día niño: 300.000</t>
        </r>
      </text>
    </comment>
    <comment ref="AM56" authorId="0" shapeId="0" xr:uid="{00000000-0006-0000-0300-000046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M57" authorId="0" shapeId="0" xr:uid="{00000000-0006-0000-0300-000047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mantiene</t>
        </r>
      </text>
    </comment>
    <comment ref="AM58" authorId="0" shapeId="0" xr:uid="{00000000-0006-0000-0300-000048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M59" authorId="0" shapeId="0" xr:uid="{00000000-0006-0000-0300-000049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M60" authorId="0" shapeId="0" xr:uid="{00000000-0006-0000-0300-00004A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M64" authorId="0" shapeId="0" xr:uid="{00000000-0006-0000-0300-00004B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M65" authorId="0" shapeId="0" xr:uid="{00000000-0006-0000-0300-00004C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1.130 intereses credito banco</t>
        </r>
      </text>
    </comment>
    <comment ref="AM66" authorId="0" shapeId="0" xr:uid="{00000000-0006-0000-0300-00004D000000}">
      <text>
        <r>
          <rPr>
            <b/>
            <sz val="9"/>
            <color indexed="81"/>
            <rFont val="Tahoma"/>
            <family val="2"/>
          </rPr>
          <t>incremento 6%</t>
        </r>
      </text>
    </comment>
    <comment ref="C73" authorId="0" shapeId="0" xr:uid="{00000000-0006-0000-0300-00004E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13.464.813 Biosimtec
11.709.505 Manometría
4.671.000 inter+ capaital Dr. Pino
2.523 cuota test de aliento</t>
        </r>
      </text>
    </comment>
    <comment ref="D73" authorId="0" shapeId="0" xr:uid="{00000000-0006-0000-0300-00004F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13.464.813 Biosimtec
11.709.505 Manometría
4.671.000 inter+ capaital Dr. Pino</t>
        </r>
      </text>
    </comment>
    <comment ref="F73" authorId="0" shapeId="0" xr:uid="{00000000-0006-0000-0300-000050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13.464.813 Biosimtec
11.709.505 Manometría
4.671.000 inter+ capaital Dr. Pino
17.500 Camillas</t>
        </r>
      </text>
    </comment>
    <comment ref="G73" authorId="0" shapeId="0" xr:uid="{00000000-0006-0000-0300-000051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13.464.813 Biosimtec
11.709.505 Manometría
4.671.000 inter+ capaital Dr. Pino</t>
        </r>
      </text>
    </comment>
    <comment ref="P73" authorId="0" shapeId="0" xr:uid="{00000000-0006-0000-0300-000052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13.464.813 Biosimtec
11.709.505 Manometría
4.671.000 inter+ capaital Dr. Pino</t>
        </r>
      </text>
    </comment>
    <comment ref="AM73" authorId="0" shapeId="0" xr:uid="{00000000-0006-0000-0300-000053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incrementó 36%
160.377.756  Biosimtec
56.062.704  interes pretamo y 
abono a capital mas interes
140.514.060 Equipo manometría
Total: 356.954.520</t>
        </r>
      </text>
    </comment>
    <comment ref="D74" authorId="0" shapeId="0" xr:uid="{00000000-0006-0000-0300-000054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Telon Video beam - Baterias UPS Admisiones y Consultorio1</t>
        </r>
      </text>
    </comment>
    <comment ref="G74" authorId="0" shapeId="0" xr:uid="{00000000-0006-0000-0300-000055000000}">
      <text>
        <r>
          <rPr>
            <b/>
            <sz val="9"/>
            <color indexed="81"/>
            <rFont val="Tahoma"/>
            <family val="2"/>
          </rPr>
          <t>Ups vargas, vanesa - Servidor NAS Publica</t>
        </r>
      </text>
    </comment>
    <comment ref="AM74" authorId="0" shapeId="0" xr:uid="{00000000-0006-0000-0300-000056000000}">
      <text>
        <r>
          <rPr>
            <sz val="9"/>
            <color indexed="81"/>
            <rFont val="Tahoma"/>
            <family val="2"/>
          </rPr>
          <t>UPS, capturadoras, varios</t>
        </r>
      </text>
    </comment>
    <comment ref="F75" authorId="0" shapeId="0" xr:uid="{00000000-0006-0000-0300-000057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DR VARGAS</t>
        </r>
      </text>
    </comment>
    <comment ref="L75" authorId="0" shapeId="0" xr:uid="{00000000-0006-0000-0300-000058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aire pasillo segundo piso</t>
        </r>
      </text>
    </comment>
    <comment ref="AM75" authorId="0" shapeId="0" xr:uid="{00000000-0006-0000-0300-000059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Dr. Vargas.</t>
        </r>
      </text>
    </comment>
    <comment ref="O76" authorId="0" shapeId="0" xr:uid="{00000000-0006-0000-0300-00005A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escritorios salas</t>
        </r>
      </text>
    </comment>
    <comment ref="C77" authorId="0" shapeId="0" xr:uid="{00000000-0006-0000-0300-00005B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computador enfermería
Camaras de seguridad
capturadoras</t>
        </r>
      </text>
    </comment>
    <comment ref="D77" authorId="0" shapeId="0" xr:uid="{00000000-0006-0000-0300-00005C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computador enfermeria</t>
        </r>
      </text>
    </comment>
    <comment ref="G77" authorId="0" shapeId="0" xr:uid="{00000000-0006-0000-0300-00005D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Digitalización ingreso segundo piso</t>
        </r>
      </text>
    </comment>
    <comment ref="I77" authorId="0" shapeId="0" xr:uid="{00000000-0006-0000-0300-00005E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Digiturno</t>
        </r>
      </text>
    </comment>
    <comment ref="L77" authorId="0" shapeId="0" xr:uid="{00000000-0006-0000-0300-00005F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Digiturno</t>
        </r>
      </text>
    </comment>
    <comment ref="P77" authorId="0" shapeId="0" xr:uid="{00000000-0006-0000-0300-000060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computador compras</t>
        </r>
      </text>
    </comment>
    <comment ref="AM77" authorId="0" shapeId="0" xr:uid="{00000000-0006-0000-0300-000061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computador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Gerencia Incide</author>
  </authors>
  <commentList>
    <comment ref="AL1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promedio mes recaudo</t>
        </r>
      </text>
    </comment>
    <comment ref="F2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no se cancela en el mes porque se liquidará la retención el saldo para el mes de marzo</t>
        </r>
      </text>
    </comment>
    <comment ref="C32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comptuador sala 1</t>
        </r>
      </text>
    </comment>
    <comment ref="AL32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impresora admisiones 1.500.000+ 2.000.000 computador compras</t>
        </r>
      </text>
    </comment>
    <comment ref="AL33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total equipo 297.250.100</t>
        </r>
      </text>
    </comment>
    <comment ref="AL34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saldo sofware 17.678.572
13.376 755 actual - mante
7.806.400 capacitaciones
queda pendiente una cuota de actualziacion para enero 2019</t>
        </r>
      </text>
    </comment>
    <comment ref="O44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Esteban</t>
        </r>
      </text>
    </comment>
    <comment ref="R44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Esteban</t>
        </r>
      </text>
    </comment>
    <comment ref="U44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Esteban</t>
        </r>
      </text>
    </comment>
    <comment ref="X44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Esteban</t>
        </r>
      </text>
    </comment>
    <comment ref="AA44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Esteban</t>
        </r>
      </text>
    </comment>
    <comment ref="AD44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Esteban</t>
        </r>
      </text>
    </comment>
    <comment ref="AG44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Esteban</t>
        </r>
      </text>
    </comment>
    <comment ref="AJ44" authorId="0" shapeId="0" xr:uid="{00000000-0006-0000-0400-00000E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Esteban</t>
        </r>
      </text>
    </comment>
    <comment ref="AL46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mantiene</t>
        </r>
      </text>
    </comment>
    <comment ref="AL47" authorId="0" shapeId="0" xr:uid="{00000000-0006-0000-0400-000010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L52" authorId="0" shapeId="0" xr:uid="{00000000-0006-0000-0400-000011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el 20%</t>
        </r>
      </text>
    </comment>
    <comment ref="AL53" authorId="0" shapeId="0" xr:uid="{00000000-0006-0000-0400-000012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L54" authorId="0" shapeId="0" xr:uid="{00000000-0006-0000-0400-000013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5.9% Luz Dary:893.000, 990.000 victor, 388.000 regente, Abogada 781.242( Total mes 3.052.242)
mas 500 de exogenas en marzo don victor</t>
        </r>
      </text>
    </comment>
    <comment ref="AL57" authorId="0" shapeId="0" xr:uid="{00000000-0006-0000-0400-000014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 4.500.000 mensual
3.000.000 promedio cartera</t>
        </r>
      </text>
    </comment>
    <comment ref="AL60" authorId="0" shapeId="0" xr:uid="{00000000-0006-0000-0400-000015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L61" authorId="0" shapeId="0" xr:uid="{00000000-0006-0000-0400-000016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disminuyó</t>
        </r>
      </text>
    </comment>
    <comment ref="AL62" authorId="0" shapeId="0" xr:uid="{00000000-0006-0000-0400-000017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10%</t>
        </r>
      </text>
    </comment>
    <comment ref="AL63" authorId="0" shapeId="0" xr:uid="{00000000-0006-0000-0400-000018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disminuyó</t>
        </r>
      </text>
    </comment>
    <comment ref="AL66" authorId="0" shapeId="0" xr:uid="{00000000-0006-0000-0400-000019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mantuvo</t>
        </r>
      </text>
    </comment>
    <comment ref="AL68" authorId="0" shapeId="0" xr:uid="{00000000-0006-0000-0400-00001A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L69" authorId="0" shapeId="0" xr:uid="{00000000-0006-0000-0400-00001B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L70" authorId="0" shapeId="0" xr:uid="{00000000-0006-0000-0400-00001C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incremento5%</t>
        </r>
      </text>
    </comment>
    <comment ref="AL71" authorId="0" shapeId="0" xr:uid="{00000000-0006-0000-0400-00001D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L72" authorId="0" shapeId="0" xr:uid="{00000000-0006-0000-0400-00001E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9%</t>
        </r>
      </text>
    </comment>
    <comment ref="L73" authorId="0" shapeId="0" xr:uid="{00000000-0006-0000-0400-00001F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Contrato Ecopetrol</t>
        </r>
      </text>
    </comment>
    <comment ref="O73" authorId="0" shapeId="0" xr:uid="{00000000-0006-0000-0400-000020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Contrato Ecopetrol</t>
        </r>
      </text>
    </comment>
    <comment ref="Q73" authorId="0" shapeId="0" xr:uid="{00000000-0006-0000-0400-000021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rce</t>
        </r>
      </text>
    </comment>
    <comment ref="R73" authorId="0" shapeId="0" xr:uid="{00000000-0006-0000-0400-000022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Contrato Ecopetrol</t>
        </r>
      </text>
    </comment>
    <comment ref="U73" authorId="0" shapeId="0" xr:uid="{00000000-0006-0000-0400-000023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Contrato Ecopetrol</t>
        </r>
      </text>
    </comment>
    <comment ref="X73" authorId="0" shapeId="0" xr:uid="{00000000-0006-0000-0400-000024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Contrato Ecopetrol</t>
        </r>
      </text>
    </comment>
    <comment ref="AA73" authorId="0" shapeId="0" xr:uid="{00000000-0006-0000-0400-000025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Contrato Ecopetrol</t>
        </r>
      </text>
    </comment>
    <comment ref="AD73" authorId="0" shapeId="0" xr:uid="{00000000-0006-0000-0400-000026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Contrato Ecopetrol</t>
        </r>
      </text>
    </comment>
    <comment ref="AG73" authorId="0" shapeId="0" xr:uid="{00000000-0006-0000-0400-000027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Contrato Ecopetrol</t>
        </r>
      </text>
    </comment>
    <comment ref="AJ73" authorId="0" shapeId="0" xr:uid="{00000000-0006-0000-0400-000028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Contrato Ecopetrol</t>
        </r>
      </text>
    </comment>
    <comment ref="AL73" authorId="0" shapeId="0" xr:uid="{00000000-0006-0000-0400-000029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RCE 2017: 7.500.000
póliza credito: 1.900.000 
poliza Activos: 20.000.000 cumplimiento: 350.000</t>
        </r>
      </text>
    </comment>
    <comment ref="AL74" authorId="0" shapeId="0" xr:uid="{00000000-0006-0000-0400-00002A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iincremento 30% se tiene mas equipos para calibrar</t>
        </r>
      </text>
    </comment>
    <comment ref="B75" authorId="0" shapeId="0" xr:uid="{00000000-0006-0000-0400-00002B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arco en c</t>
        </r>
      </text>
    </comment>
    <comment ref="H75" authorId="0" shapeId="0" xr:uid="{00000000-0006-0000-0400-00002C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mantenimiento arco en C</t>
        </r>
      </text>
    </comment>
    <comment ref="N75" authorId="0" shapeId="0" xr:uid="{00000000-0006-0000-0400-00002D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mantenimiento arco en C</t>
        </r>
      </text>
    </comment>
    <comment ref="Q75" authorId="0" shapeId="0" xr:uid="{00000000-0006-0000-0400-00002E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mantenimiento arco en C</t>
        </r>
      </text>
    </comment>
    <comment ref="T75" authorId="0" shapeId="0" xr:uid="{00000000-0006-0000-0400-00002F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mantenimiento arco en C</t>
        </r>
      </text>
    </comment>
    <comment ref="W75" authorId="0" shapeId="0" xr:uid="{00000000-0006-0000-0400-000030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mantenimiento arco en C</t>
        </r>
      </text>
    </comment>
    <comment ref="Z75" authorId="0" shapeId="0" xr:uid="{00000000-0006-0000-0400-000031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mantenimiento arco en C</t>
        </r>
      </text>
    </comment>
    <comment ref="AC75" authorId="0" shapeId="0" xr:uid="{00000000-0006-0000-0400-000032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mantenimiento arco en C</t>
        </r>
      </text>
    </comment>
    <comment ref="AF75" authorId="0" shapeId="0" xr:uid="{00000000-0006-0000-0400-000033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mantenimiento arco en C</t>
        </r>
      </text>
    </comment>
    <comment ref="AI75" authorId="0" shapeId="0" xr:uid="{00000000-0006-0000-0400-000034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mantenimiento arco en C</t>
        </r>
      </text>
    </comment>
    <comment ref="AL77" authorId="0" shapeId="0" xr:uid="{00000000-0006-0000-0400-000035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humedad</t>
        </r>
      </text>
    </comment>
    <comment ref="AL78" authorId="0" shapeId="0" xr:uid="{00000000-0006-0000-0400-000036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incremento</t>
        </r>
      </text>
    </comment>
    <comment ref="AL79" authorId="0" shapeId="0" xr:uid="{00000000-0006-0000-0400-000037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L80" authorId="0" shapeId="0" xr:uid="{00000000-0006-0000-0400-000038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se mantiene</t>
        </r>
      </text>
    </comment>
    <comment ref="AL83" authorId="0" shapeId="0" xr:uid="{00000000-0006-0000-0400-000039000000}">
      <text>
        <r>
          <rPr>
            <b/>
            <sz val="9"/>
            <color indexed="81"/>
            <rFont val="Tahoma"/>
            <family val="2"/>
          </rPr>
          <t>viajes</t>
        </r>
      </text>
    </comment>
    <comment ref="F85" authorId="0" shapeId="0" xr:uid="{00000000-0006-0000-0400-00003A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100.000</t>
        </r>
      </text>
    </comment>
    <comment ref="L85" authorId="0" shapeId="0" xr:uid="{00000000-0006-0000-0400-00003B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100.000</t>
        </r>
      </text>
    </comment>
    <comment ref="O85" authorId="0" shapeId="0" xr:uid="{00000000-0006-0000-0400-00003C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100.000</t>
        </r>
      </text>
    </comment>
    <comment ref="R85" authorId="0" shapeId="0" xr:uid="{00000000-0006-0000-0400-00003D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100.000</t>
        </r>
      </text>
    </comment>
    <comment ref="U85" authorId="0" shapeId="0" xr:uid="{00000000-0006-0000-0400-00003E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100.000</t>
        </r>
      </text>
    </comment>
    <comment ref="X85" authorId="0" shapeId="0" xr:uid="{00000000-0006-0000-0400-00003F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100.000</t>
        </r>
      </text>
    </comment>
    <comment ref="AA85" authorId="0" shapeId="0" xr:uid="{00000000-0006-0000-0400-000040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100.000</t>
        </r>
      </text>
    </comment>
    <comment ref="AD85" authorId="0" shapeId="0" xr:uid="{00000000-0006-0000-0400-000041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100.000</t>
        </r>
      </text>
    </comment>
    <comment ref="AG85" authorId="0" shapeId="0" xr:uid="{00000000-0006-0000-0400-000042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100.000</t>
        </r>
      </text>
    </comment>
    <comment ref="AJ85" authorId="0" shapeId="0" xr:uid="{00000000-0006-0000-0400-000043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100.000</t>
        </r>
      </text>
    </comment>
    <comment ref="AL85" authorId="0" shapeId="0" xr:uid="{00000000-0006-0000-0400-000044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del 10%
San Pedro: 1.700.000
Cumpleaños Incide: 1.200.000
Navidad: 4.600.000</t>
        </r>
      </text>
    </comment>
    <comment ref="AL86" authorId="0" shapeId="0" xr:uid="{00000000-0006-0000-0400-000045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incremento 20.000 mensuales</t>
        </r>
      </text>
    </comment>
    <comment ref="H87" authorId="0" shapeId="0" xr:uid="{00000000-0006-0000-0400-000046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11.750.000 retención equipos Biosimtec</t>
        </r>
      </text>
    </comment>
    <comment ref="AL87" authorId="0" shapeId="0" xr:uid="{00000000-0006-0000-0400-000047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incrementó</t>
        </r>
      </text>
    </comment>
    <comment ref="E89" authorId="0" shapeId="0" xr:uid="{00000000-0006-0000-0400-000048000000}">
      <text>
        <r>
          <rPr>
            <b/>
            <sz val="9"/>
            <color indexed="81"/>
            <rFont val="Tahoma"/>
            <family val="2"/>
          </rPr>
          <t>Gerencia Incide:</t>
        </r>
        <r>
          <rPr>
            <sz val="9"/>
            <color indexed="81"/>
            <rFont val="Tahoma"/>
            <family val="2"/>
          </rPr>
          <t xml:space="preserve">
aire Dr. Vargas, compresor, disco duro publica</t>
        </r>
      </text>
    </comment>
  </commentList>
</comments>
</file>

<file path=xl/sharedStrings.xml><?xml version="1.0" encoding="utf-8"?>
<sst xmlns="http://schemas.openxmlformats.org/spreadsheetml/2006/main" count="305" uniqueCount="174">
  <si>
    <t>INSTITUTO HUILENSE DE CIRUGIA GASTROINTESTINAL Y ENDOSCOPIA DIGESTIVA INCIDE</t>
  </si>
  <si>
    <t>NIT. 813.000.219-5</t>
  </si>
  <si>
    <t>FLUJO DE CAJA 2019</t>
  </si>
  <si>
    <t>SALDOS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</si>
  <si>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</si>
  <si>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</si>
  <si>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</si>
  <si>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</si>
  <si>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</si>
  <si>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</si>
  <si>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</si>
  <si>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</si>
  <si>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</si>
  <si>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</t>
  </si>
  <si>
    <t xml:space="preserve">  BANCO</t>
  </si>
  <si>
    <t xml:space="preserve"> CAJA</t>
  </si>
  <si>
    <t>ITEM</t>
  </si>
  <si>
    <t>OCTUBRE</t>
  </si>
  <si>
    <t>NOVIEMBRE</t>
  </si>
  <si>
    <t>DICIEMBRE</t>
  </si>
  <si>
    <t>TOTAL AÑO</t>
  </si>
  <si>
    <t>PRESUPUESTADO</t>
  </si>
  <si>
    <t>EJECUTADO</t>
  </si>
  <si>
    <t>%</t>
  </si>
  <si>
    <t>SALDO INICIAL</t>
  </si>
  <si>
    <t>Caja</t>
  </si>
  <si>
    <t>Caja Menor</t>
  </si>
  <si>
    <t>Bancos</t>
  </si>
  <si>
    <t>TOTAL SALDOS</t>
  </si>
  <si>
    <t>INGRESOS</t>
  </si>
  <si>
    <t>Recuado Cartera (Banco)</t>
  </si>
  <si>
    <t>Participación Comsusalud</t>
  </si>
  <si>
    <t>Copagos</t>
  </si>
  <si>
    <t>Particulares</t>
  </si>
  <si>
    <t>Nulytelly e isinova</t>
  </si>
  <si>
    <t>Otros Conceptos (Agua Unidad)</t>
  </si>
  <si>
    <t xml:space="preserve"> INGRESOS + SALDOS</t>
  </si>
  <si>
    <t>EGRESOS</t>
  </si>
  <si>
    <t>Inversiones</t>
  </si>
  <si>
    <t>Equipo Sonoscape</t>
  </si>
  <si>
    <t xml:space="preserve">Abono prestamo e interes Dr. Pino </t>
  </si>
  <si>
    <t>Equipo de computación  y Comunicaciones</t>
  </si>
  <si>
    <t>Equipo Manomtería</t>
  </si>
  <si>
    <t>Software contable -Admon</t>
  </si>
  <si>
    <t>Total Inversiones</t>
  </si>
  <si>
    <t>Obligaciones Financieras</t>
  </si>
  <si>
    <t>Pago Proveedores</t>
  </si>
  <si>
    <t>Gastos Personal</t>
  </si>
  <si>
    <t>Nomina</t>
  </si>
  <si>
    <t>Liquidación personal</t>
  </si>
  <si>
    <t>Prima</t>
  </si>
  <si>
    <t>Aportes seguridad Social y Parafiscales</t>
  </si>
  <si>
    <t>Bonificaciones</t>
  </si>
  <si>
    <t>Libranzas Empleados</t>
  </si>
  <si>
    <t>Intereses  - Cesantias</t>
  </si>
  <si>
    <t>incapacidades jhon</t>
  </si>
  <si>
    <t>intereses procesos</t>
  </si>
  <si>
    <t>Dotacion</t>
  </si>
  <si>
    <t>Capacitaciones NIIF</t>
  </si>
  <si>
    <t>Honorarios prestadores de Servicios</t>
  </si>
  <si>
    <t>Honorarios Medicos</t>
  </si>
  <si>
    <t>Ultrasonografías</t>
  </si>
  <si>
    <t>Contrato Gestión</t>
  </si>
  <si>
    <t>Total Gastos Personal</t>
  </si>
  <si>
    <t>Servicios Públicos</t>
  </si>
  <si>
    <t>Servicio de Agua y Alcantarillado</t>
  </si>
  <si>
    <t>Servicio de Energia</t>
  </si>
  <si>
    <t>Servicio Telefono</t>
  </si>
  <si>
    <t>Servicio Celular</t>
  </si>
  <si>
    <t>Total Servicios Públicos</t>
  </si>
  <si>
    <t>Otros Servicios</t>
  </si>
  <si>
    <t>servicio de lavanderia</t>
  </si>
  <si>
    <t xml:space="preserve">Recoleccion residuos </t>
  </si>
  <si>
    <t>Servicio aseo ( Fumigacion)</t>
  </si>
  <si>
    <t xml:space="preserve"> Públicidad y Propaganda</t>
  </si>
  <si>
    <t>Rodamiento</t>
  </si>
  <si>
    <t>Arrendamiento bodega</t>
  </si>
  <si>
    <t xml:space="preserve">Cuota de Administracion  del  Edificio </t>
  </si>
  <si>
    <t>Seguros ( polizas)</t>
  </si>
  <si>
    <t>Calibración Equipo Biomedicos</t>
  </si>
  <si>
    <t>Mantenimiento Preventivo Equipo Medico</t>
  </si>
  <si>
    <t>Mantenimiento Correctivo Equipo Medico</t>
  </si>
  <si>
    <t>Mtto. construciones y edif</t>
  </si>
  <si>
    <t>Mantenimiento  Preventivo Aires Acondicionados</t>
  </si>
  <si>
    <t>Mantenimiento  Correctivo Aires Acondicionados</t>
  </si>
  <si>
    <t>Mantenimiento Red de Oxigeno</t>
  </si>
  <si>
    <t>Total Servicios</t>
  </si>
  <si>
    <t>Diversos</t>
  </si>
  <si>
    <t>Gastos de Representacion</t>
  </si>
  <si>
    <t>Bienestar Empleados</t>
  </si>
  <si>
    <t>Parqueaderos</t>
  </si>
  <si>
    <t xml:space="preserve"> Impuesto </t>
  </si>
  <si>
    <t>Otros gastos</t>
  </si>
  <si>
    <t>Total Diversos</t>
  </si>
  <si>
    <t>TOTAL EGRESOS</t>
  </si>
  <si>
    <t>TOTAL EXEDENTE</t>
  </si>
  <si>
    <t>Renovación sonescape</t>
  </si>
  <si>
    <t>PRESUP</t>
  </si>
  <si>
    <t>TOTAL INGRESOS</t>
  </si>
  <si>
    <t>INVERSIONES</t>
  </si>
  <si>
    <t>Equipo médico</t>
  </si>
  <si>
    <t>Compra Hardware</t>
  </si>
  <si>
    <t xml:space="preserve">Compra aire Acondicionado </t>
  </si>
  <si>
    <t>TOTAL INVERSIONES</t>
  </si>
  <si>
    <t>Pago Obligaciones Financieras</t>
  </si>
  <si>
    <t>Pago a Proveedores</t>
  </si>
  <si>
    <t>Salarios</t>
  </si>
  <si>
    <t>Prestaciones Sociales</t>
  </si>
  <si>
    <t>Actividades seguridad trabajo</t>
  </si>
  <si>
    <t xml:space="preserve"> Otras Capacitaciones</t>
  </si>
  <si>
    <t xml:space="preserve">  servicio de lavanderia</t>
  </si>
  <si>
    <t xml:space="preserve">  Servicio aseo ( Fumigacion)</t>
  </si>
  <si>
    <t xml:space="preserve">  Servicio de Agua y Alcantarillado</t>
  </si>
  <si>
    <t xml:space="preserve">  Servicio de Energia</t>
  </si>
  <si>
    <t xml:space="preserve">  Servicio Telefono</t>
  </si>
  <si>
    <t xml:space="preserve">  Servicio Celular</t>
  </si>
  <si>
    <t xml:space="preserve">  Correo Portes y Telegramas - Fletes</t>
  </si>
  <si>
    <t xml:space="preserve">  Públicidad y Propaganda</t>
  </si>
  <si>
    <t xml:space="preserve">  Cuota de Administracion  del  Edificio </t>
  </si>
  <si>
    <t>Gastos Legales</t>
  </si>
  <si>
    <t xml:space="preserve">  Mtto. construciones y edif</t>
  </si>
  <si>
    <t xml:space="preserve">  Gastos de Representacion</t>
  </si>
  <si>
    <t xml:space="preserve">  Elementos de  Aseo y Cafeteria</t>
  </si>
  <si>
    <t xml:space="preserve">  Utilies Papeleria y Fotocopias</t>
  </si>
  <si>
    <t xml:space="preserve">  Taxis y Buses</t>
  </si>
  <si>
    <t xml:space="preserve">  Casino y Restaurante</t>
  </si>
  <si>
    <t xml:space="preserve">  Parqueaderos</t>
  </si>
  <si>
    <t xml:space="preserve">  Financieros - Bancarios</t>
  </si>
  <si>
    <t xml:space="preserve">  Impuesto Predial</t>
  </si>
  <si>
    <t>Imprevistos</t>
  </si>
  <si>
    <t>UTILIDAD PROYECTADA</t>
  </si>
  <si>
    <t>CONSOLIDADO  A OCTUBRE 2019</t>
  </si>
  <si>
    <t>PRESUPUESTO 2020 EN MILES DE PESOS</t>
  </si>
  <si>
    <t>PROMEDIO MENSUAL BASE 2019</t>
  </si>
  <si>
    <t>TOTAL AÑO 2020</t>
  </si>
  <si>
    <t>Variación</t>
  </si>
  <si>
    <t xml:space="preserve">1. INGRESOS </t>
  </si>
  <si>
    <t>2. GASTOS ADMINISTRATIVOS</t>
  </si>
  <si>
    <t>Operaciones Servicio de Apoyo</t>
  </si>
  <si>
    <t>Venta</t>
  </si>
  <si>
    <t>(-) Devoluciones</t>
  </si>
  <si>
    <t>GASTOS DE PERSONAL</t>
  </si>
  <si>
    <t>SERVICIOS</t>
  </si>
  <si>
    <t>MANTENIMIENTOS Y REPARACIONES</t>
  </si>
  <si>
    <t>DIVERSOS</t>
  </si>
  <si>
    <t>FINANCIEROS</t>
  </si>
  <si>
    <t>TOTAL COSTOS Y GASTOS</t>
  </si>
  <si>
    <t>UTILIDAD FINAL PROYECTADA</t>
  </si>
  <si>
    <t>según ejecutado a oc</t>
  </si>
  <si>
    <t>Presupuestado Dic</t>
  </si>
  <si>
    <t>Gastos de viaje</t>
  </si>
  <si>
    <t>Muebles y enseres</t>
  </si>
  <si>
    <t>Pago utilidades año 2018</t>
  </si>
  <si>
    <t>Gastos legales</t>
  </si>
  <si>
    <t>Aire acondicionado</t>
  </si>
  <si>
    <t>camaras de seguridad</t>
  </si>
  <si>
    <t>camillas</t>
  </si>
  <si>
    <t>TV</t>
  </si>
  <si>
    <t>INSTITUTO HUILENSE DE CIRUGIA GASTROINTESTINAL 
Y ENDOSCOPIA DIGESTIVA INCIDE</t>
  </si>
  <si>
    <t>Incluir dentro del presupuesto institucional las actividades para ejecutar el plan de accion</t>
  </si>
  <si>
    <t>Brindar el servicio preferencial</t>
  </si>
  <si>
    <t>Elaborar las respectivas convocatorias internas y externas</t>
  </si>
  <si>
    <t>Ejecutar recursos asignados para el cumplimiento de la Política de Participación Social</t>
  </si>
  <si>
    <t xml:space="preserve">PRESUPUESTO PLAN DE ACCIÒN PARTICIPACIÒN CIUDADANA  </t>
  </si>
  <si>
    <t>PRESUPUESTO</t>
  </si>
  <si>
    <t>Diseñar estrategias de comunicaciòn y su publicaciòn en los diferentes medios.</t>
  </si>
  <si>
    <t>Desarrollar estrategias de comunicación institucional</t>
  </si>
  <si>
    <t>TOTAL AÑO 2023</t>
  </si>
  <si>
    <t>Diseñar  un folleto</t>
  </si>
  <si>
    <t>Socializar a los usuarios el incentivo por la participación activa</t>
  </si>
  <si>
    <t>Incluir dentro del plan de capacitaciones temas de bienestar</t>
  </si>
  <si>
    <t>Crear  material informativo  de autocuidado para compartir con los usuarios.</t>
  </si>
  <si>
    <t>Realizar las acciones establecidas según el
cronograma de la IPS</t>
  </si>
  <si>
    <t>Realizar capacitaciones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</si>
</sst>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* #,##0_-;\-* #,##0_-;_-* &quot;-&quot;??_-;_-@_-"/>
    <numFmt numFmtId="167" formatCode="_(* #,##0_);_(* \(#,##0\);_(* &quot;-&quot;??_);_(@_)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8"/>
      <color indexed="8"/>
      <name val="Cambria"/>
      <family val="1"/>
    </font>
    <font>
      <sz val="8"/>
      <color theme="1"/>
      <name val="Calibri"/>
      <family val="2"/>
      <scheme val="minor"/>
    </font>
    <font>
      <b/>
      <sz val="8"/>
      <name val="Cambria"/>
      <family val="1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indexed="8"/>
      <name val="Cambria"/>
      <family val="1"/>
    </font>
    <font>
      <b/>
      <sz val="16"/>
      <name val="Cambria"/>
      <family val="1"/>
    </font>
    <font>
      <sz val="11"/>
      <name val="Calibri"/>
      <family val="2"/>
      <scheme val="minor"/>
    </font>
    <font>
      <sz val="11"/>
      <name val="Arial"/>
      <family val="2"/>
    </font>
    <font>
      <b/>
      <sz val="14"/>
      <color indexed="8"/>
      <name val="Cambria"/>
      <family val="1"/>
    </font>
    <font>
      <b/>
      <sz val="14"/>
      <name val="Cambria"/>
      <family val="1"/>
    </font>
    <font>
      <sz val="11"/>
      <color theme="1"/>
      <name val="Arial"/>
      <family val="2"/>
    </font>
    <font>
      <b/>
      <sz val="16"/>
      <color theme="0"/>
      <name val="Cambria"/>
      <family val="1"/>
    </font>
    <font>
      <b/>
      <sz val="14"/>
      <color theme="0"/>
      <name val="Cambria"/>
      <family val="1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rgb="FFFF000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8"/>
      <color rgb="FFFF0000"/>
      <name val="Calibri"/>
      <family val="2"/>
      <scheme val="minor"/>
    </font>
    <font>
      <b/>
      <sz val="4"/>
      <color indexed="8"/>
      <name val="Cambria"/>
      <family val="1"/>
    </font>
    <font>
      <sz val="10"/>
      <name val="Arial"/>
      <family val="2"/>
    </font>
    <font>
      <b/>
      <sz val="11"/>
      <color theme="0"/>
      <name val="Arial"/>
      <family val="2"/>
    </font>
    <font>
      <sz val="9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8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4" fillId="0" borderId="0"/>
  </cellStyleXfs>
  <cellXfs count="303">
    <xf numFmtId="0" fontId="0" fillId="0" borderId="0" xfId="0"/>
    <xf numFmtId="3" fontId="3" fillId="0" borderId="0" xfId="0" applyNumberFormat="1" applyFont="1" applyAlignment="1">
      <alignment horizontal="center" vertical="center"/>
    </xf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3" fontId="5" fillId="0" borderId="0" xfId="0" applyNumberFormat="1" applyFont="1"/>
    <xf numFmtId="0" fontId="7" fillId="0" borderId="0" xfId="0" applyFont="1"/>
    <xf numFmtId="0" fontId="8" fillId="0" borderId="0" xfId="0" applyFont="1"/>
    <xf numFmtId="3" fontId="6" fillId="2" borderId="0" xfId="0" applyNumberFormat="1" applyFont="1" applyFill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3" fontId="10" fillId="2" borderId="1" xfId="0" applyNumberFormat="1" applyFont="1" applyFill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/>
    <xf numFmtId="3" fontId="3" fillId="2" borderId="2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41" fontId="5" fillId="2" borderId="4" xfId="2" applyFont="1" applyFill="1" applyBorder="1"/>
    <xf numFmtId="41" fontId="7" fillId="2" borderId="4" xfId="2" applyFont="1" applyFill="1" applyBorder="1"/>
    <xf numFmtId="0" fontId="5" fillId="2" borderId="4" xfId="0" applyFont="1" applyFill="1" applyBorder="1"/>
    <xf numFmtId="0" fontId="7" fillId="2" borderId="4" xfId="0" applyFont="1" applyFill="1" applyBorder="1"/>
    <xf numFmtId="0" fontId="8" fillId="2" borderId="4" xfId="0" applyFont="1" applyFill="1" applyBorder="1"/>
    <xf numFmtId="41" fontId="7" fillId="2" borderId="4" xfId="0" applyNumberFormat="1" applyFont="1" applyFill="1" applyBorder="1"/>
    <xf numFmtId="41" fontId="13" fillId="2" borderId="4" xfId="0" applyNumberFormat="1" applyFont="1" applyFill="1" applyBorder="1" applyAlignment="1">
      <alignment horizontal="center"/>
    </xf>
    <xf numFmtId="41" fontId="12" fillId="2" borderId="4" xfId="0" applyNumberFormat="1" applyFont="1" applyFill="1" applyBorder="1"/>
    <xf numFmtId="41" fontId="13" fillId="2" borderId="4" xfId="0" applyNumberFormat="1" applyFont="1" applyFill="1" applyBorder="1"/>
    <xf numFmtId="0" fontId="8" fillId="0" borderId="0" xfId="0" applyFont="1" applyAlignment="1">
      <alignment horizontal="center"/>
    </xf>
    <xf numFmtId="41" fontId="7" fillId="2" borderId="5" xfId="0" applyNumberFormat="1" applyFont="1" applyFill="1" applyBorder="1" applyAlignment="1">
      <alignment horizontal="center"/>
    </xf>
    <xf numFmtId="0" fontId="5" fillId="2" borderId="5" xfId="0" applyFont="1" applyFill="1" applyBorder="1"/>
    <xf numFmtId="0" fontId="7" fillId="2" borderId="5" xfId="0" applyFont="1" applyFill="1" applyBorder="1"/>
    <xf numFmtId="0" fontId="8" fillId="2" borderId="5" xfId="0" applyFont="1" applyFill="1" applyBorder="1"/>
    <xf numFmtId="0" fontId="5" fillId="0" borderId="5" xfId="0" applyFont="1" applyBorder="1"/>
    <xf numFmtId="0" fontId="5" fillId="0" borderId="0" xfId="0" applyFont="1" applyAlignment="1">
      <alignment vertical="center"/>
    </xf>
    <xf numFmtId="3" fontId="15" fillId="3" borderId="12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3" fillId="4" borderId="12" xfId="0" applyNumberFormat="1" applyFont="1" applyFill="1" applyBorder="1" applyAlignment="1">
      <alignment horizontal="center"/>
    </xf>
    <xf numFmtId="3" fontId="16" fillId="2" borderId="14" xfId="0" applyNumberFormat="1" applyFont="1" applyFill="1" applyBorder="1"/>
    <xf numFmtId="3" fontId="16" fillId="5" borderId="15" xfId="0" applyNumberFormat="1" applyFont="1" applyFill="1" applyBorder="1"/>
    <xf numFmtId="3" fontId="16" fillId="2" borderId="15" xfId="0" applyNumberFormat="1" applyFont="1" applyFill="1" applyBorder="1"/>
    <xf numFmtId="3" fontId="16" fillId="2" borderId="16" xfId="0" applyNumberFormat="1" applyFont="1" applyFill="1" applyBorder="1"/>
    <xf numFmtId="0" fontId="16" fillId="2" borderId="14" xfId="0" applyFont="1" applyFill="1" applyBorder="1"/>
    <xf numFmtId="0" fontId="5" fillId="2" borderId="0" xfId="0" applyFont="1" applyFill="1"/>
    <xf numFmtId="0" fontId="0" fillId="2" borderId="0" xfId="0" applyFill="1"/>
    <xf numFmtId="3" fontId="17" fillId="2" borderId="14" xfId="0" applyNumberFormat="1" applyFont="1" applyFill="1" applyBorder="1" applyAlignment="1">
      <alignment horizontal="center"/>
    </xf>
    <xf numFmtId="3" fontId="16" fillId="5" borderId="4" xfId="0" applyNumberFormat="1" applyFont="1" applyFill="1" applyBorder="1"/>
    <xf numFmtId="3" fontId="16" fillId="2" borderId="4" xfId="0" applyNumberFormat="1" applyFont="1" applyFill="1" applyBorder="1"/>
    <xf numFmtId="9" fontId="16" fillId="2" borderId="4" xfId="3" applyFont="1" applyFill="1" applyBorder="1"/>
    <xf numFmtId="3" fontId="16" fillId="2" borderId="17" xfId="0" applyNumberFormat="1" applyFont="1" applyFill="1" applyBorder="1"/>
    <xf numFmtId="9" fontId="16" fillId="2" borderId="17" xfId="3" applyFont="1" applyFill="1" applyBorder="1"/>
    <xf numFmtId="9" fontId="19" fillId="2" borderId="4" xfId="3" applyFont="1" applyFill="1" applyBorder="1"/>
    <xf numFmtId="3" fontId="19" fillId="2" borderId="4" xfId="0" applyNumberFormat="1" applyFont="1" applyFill="1" applyBorder="1"/>
    <xf numFmtId="3" fontId="16" fillId="2" borderId="18" xfId="0" applyNumberFormat="1" applyFont="1" applyFill="1" applyBorder="1"/>
    <xf numFmtId="3" fontId="17" fillId="2" borderId="4" xfId="0" applyNumberFormat="1" applyFont="1" applyFill="1" applyBorder="1" applyAlignment="1">
      <alignment horizontal="center"/>
    </xf>
    <xf numFmtId="3" fontId="16" fillId="2" borderId="19" xfId="0" applyNumberFormat="1" applyFont="1" applyFill="1" applyBorder="1"/>
    <xf numFmtId="3" fontId="16" fillId="2" borderId="20" xfId="0" applyNumberFormat="1" applyFont="1" applyFill="1" applyBorder="1"/>
    <xf numFmtId="3" fontId="17" fillId="2" borderId="21" xfId="0" applyNumberFormat="1" applyFont="1" applyFill="1" applyBorder="1" applyAlignment="1">
      <alignment horizontal="center"/>
    </xf>
    <xf numFmtId="3" fontId="16" fillId="5" borderId="21" xfId="0" applyNumberFormat="1" applyFont="1" applyFill="1" applyBorder="1"/>
    <xf numFmtId="3" fontId="16" fillId="2" borderId="21" xfId="0" applyNumberFormat="1" applyFont="1" applyFill="1" applyBorder="1"/>
    <xf numFmtId="9" fontId="16" fillId="2" borderId="21" xfId="3" applyFont="1" applyFill="1" applyBorder="1"/>
    <xf numFmtId="3" fontId="16" fillId="2" borderId="22" xfId="0" applyNumberFormat="1" applyFont="1" applyFill="1" applyBorder="1"/>
    <xf numFmtId="3" fontId="19" fillId="2" borderId="21" xfId="0" applyNumberFormat="1" applyFont="1" applyFill="1" applyBorder="1"/>
    <xf numFmtId="3" fontId="16" fillId="2" borderId="23" xfId="0" applyNumberFormat="1" applyFont="1" applyFill="1" applyBorder="1"/>
    <xf numFmtId="9" fontId="19" fillId="2" borderId="21" xfId="3" applyFont="1" applyFill="1" applyBorder="1"/>
    <xf numFmtId="3" fontId="15" fillId="6" borderId="24" xfId="0" applyNumberFormat="1" applyFont="1" applyFill="1" applyBorder="1" applyAlignment="1">
      <alignment horizontal="center"/>
    </xf>
    <xf numFmtId="3" fontId="15" fillId="6" borderId="7" xfId="0" applyNumberFormat="1" applyFont="1" applyFill="1" applyBorder="1"/>
    <xf numFmtId="9" fontId="15" fillId="6" borderId="7" xfId="3" applyFont="1" applyFill="1" applyBorder="1"/>
    <xf numFmtId="3" fontId="15" fillId="6" borderId="6" xfId="0" applyNumberFormat="1" applyFont="1" applyFill="1" applyBorder="1"/>
    <xf numFmtId="9" fontId="15" fillId="6" borderId="6" xfId="3" applyFont="1" applyFill="1" applyBorder="1"/>
    <xf numFmtId="3" fontId="20" fillId="6" borderId="7" xfId="0" applyNumberFormat="1" applyFont="1" applyFill="1" applyBorder="1"/>
    <xf numFmtId="9" fontId="20" fillId="6" borderId="7" xfId="3" applyFont="1" applyFill="1" applyBorder="1"/>
    <xf numFmtId="3" fontId="15" fillId="6" borderId="11" xfId="0" applyNumberFormat="1" applyFont="1" applyFill="1" applyBorder="1"/>
    <xf numFmtId="3" fontId="3" fillId="4" borderId="7" xfId="0" applyNumberFormat="1" applyFont="1" applyFill="1" applyBorder="1" applyAlignment="1">
      <alignment horizontal="center"/>
    </xf>
    <xf numFmtId="0" fontId="16" fillId="0" borderId="14" xfId="0" applyFont="1" applyBorder="1"/>
    <xf numFmtId="0" fontId="16" fillId="5" borderId="15" xfId="0" applyFont="1" applyFill="1" applyBorder="1"/>
    <xf numFmtId="0" fontId="16" fillId="0" borderId="15" xfId="0" applyFont="1" applyBorder="1"/>
    <xf numFmtId="0" fontId="19" fillId="0" borderId="14" xfId="0" applyFont="1" applyBorder="1"/>
    <xf numFmtId="0" fontId="16" fillId="0" borderId="16" xfId="0" applyFont="1" applyBorder="1"/>
    <xf numFmtId="3" fontId="17" fillId="2" borderId="19" xfId="0" applyNumberFormat="1" applyFont="1" applyFill="1" applyBorder="1" applyAlignment="1">
      <alignment horizontal="center"/>
    </xf>
    <xf numFmtId="3" fontId="16" fillId="5" borderId="19" xfId="0" applyNumberFormat="1" applyFont="1" applyFill="1" applyBorder="1"/>
    <xf numFmtId="9" fontId="16" fillId="2" borderId="19" xfId="3" applyFont="1" applyFill="1" applyBorder="1"/>
    <xf numFmtId="0" fontId="0" fillId="2" borderId="4" xfId="0" applyFill="1" applyBorder="1"/>
    <xf numFmtId="3" fontId="3" fillId="2" borderId="25" xfId="0" applyNumberFormat="1" applyFont="1" applyFill="1" applyBorder="1" applyAlignment="1">
      <alignment horizontal="center"/>
    </xf>
    <xf numFmtId="3" fontId="15" fillId="2" borderId="4" xfId="0" applyNumberFormat="1" applyFont="1" applyFill="1" applyBorder="1"/>
    <xf numFmtId="3" fontId="20" fillId="2" borderId="4" xfId="0" applyNumberFormat="1" applyFont="1" applyFill="1" applyBorder="1"/>
    <xf numFmtId="3" fontId="16" fillId="0" borderId="14" xfId="0" applyNumberFormat="1" applyFont="1" applyBorder="1"/>
    <xf numFmtId="3" fontId="16" fillId="0" borderId="15" xfId="0" applyNumberFormat="1" applyFont="1" applyBorder="1"/>
    <xf numFmtId="3" fontId="16" fillId="0" borderId="16" xfId="0" applyNumberFormat="1" applyFont="1" applyBorder="1"/>
    <xf numFmtId="3" fontId="3" fillId="2" borderId="26" xfId="0" applyNumberFormat="1" applyFont="1" applyFill="1" applyBorder="1" applyAlignment="1">
      <alignment horizontal="center"/>
    </xf>
    <xf numFmtId="3" fontId="19" fillId="2" borderId="14" xfId="0" applyNumberFormat="1" applyFont="1" applyFill="1" applyBorder="1"/>
    <xf numFmtId="0" fontId="19" fillId="2" borderId="14" xfId="0" applyFont="1" applyFill="1" applyBorder="1"/>
    <xf numFmtId="3" fontId="16" fillId="5" borderId="17" xfId="0" applyNumberFormat="1" applyFont="1" applyFill="1" applyBorder="1"/>
    <xf numFmtId="3" fontId="5" fillId="2" borderId="0" xfId="0" applyNumberFormat="1" applyFont="1" applyFill="1"/>
    <xf numFmtId="3" fontId="3" fillId="7" borderId="4" xfId="0" applyNumberFormat="1" applyFont="1" applyFill="1" applyBorder="1" applyAlignment="1">
      <alignment horizontal="center"/>
    </xf>
    <xf numFmtId="3" fontId="15" fillId="7" borderId="4" xfId="0" applyNumberFormat="1" applyFont="1" applyFill="1" applyBorder="1"/>
    <xf numFmtId="9" fontId="15" fillId="7" borderId="4" xfId="3" applyFont="1" applyFill="1" applyBorder="1"/>
    <xf numFmtId="9" fontId="16" fillId="7" borderId="4" xfId="3" applyFont="1" applyFill="1" applyBorder="1"/>
    <xf numFmtId="3" fontId="20" fillId="7" borderId="4" xfId="0" applyNumberFormat="1" applyFont="1" applyFill="1" applyBorder="1"/>
    <xf numFmtId="9" fontId="20" fillId="7" borderId="4" xfId="3" applyFont="1" applyFill="1" applyBorder="1"/>
    <xf numFmtId="3" fontId="16" fillId="7" borderId="4" xfId="0" applyNumberFormat="1" applyFont="1" applyFill="1" applyBorder="1"/>
    <xf numFmtId="9" fontId="19" fillId="7" borderId="4" xfId="3" applyFont="1" applyFill="1" applyBorder="1"/>
    <xf numFmtId="3" fontId="12" fillId="2" borderId="0" xfId="0" applyNumberFormat="1" applyFont="1" applyFill="1"/>
    <xf numFmtId="0" fontId="12" fillId="2" borderId="0" xfId="0" applyFont="1" applyFill="1"/>
    <xf numFmtId="0" fontId="2" fillId="2" borderId="0" xfId="0" applyFont="1" applyFill="1"/>
    <xf numFmtId="3" fontId="3" fillId="2" borderId="4" xfId="0" applyNumberFormat="1" applyFont="1" applyFill="1" applyBorder="1" applyAlignment="1">
      <alignment horizontal="center"/>
    </xf>
    <xf numFmtId="9" fontId="16" fillId="7" borderId="17" xfId="3" applyFont="1" applyFill="1" applyBorder="1"/>
    <xf numFmtId="3" fontId="16" fillId="7" borderId="18" xfId="0" applyNumberFormat="1" applyFont="1" applyFill="1" applyBorder="1"/>
    <xf numFmtId="41" fontId="16" fillId="7" borderId="4" xfId="2" applyFont="1" applyFill="1" applyBorder="1"/>
    <xf numFmtId="9" fontId="20" fillId="2" borderId="4" xfId="3" applyFont="1" applyFill="1" applyBorder="1"/>
    <xf numFmtId="3" fontId="3" fillId="6" borderId="4" xfId="0" applyNumberFormat="1" applyFont="1" applyFill="1" applyBorder="1" applyAlignment="1">
      <alignment horizontal="center"/>
    </xf>
    <xf numFmtId="3" fontId="15" fillId="6" borderId="4" xfId="1" applyNumberFormat="1" applyFont="1" applyFill="1" applyBorder="1"/>
    <xf numFmtId="9" fontId="15" fillId="6" borderId="4" xfId="3" applyFont="1" applyFill="1" applyBorder="1"/>
    <xf numFmtId="9" fontId="15" fillId="6" borderId="17" xfId="3" applyFont="1" applyFill="1" applyBorder="1"/>
    <xf numFmtId="3" fontId="20" fillId="6" borderId="4" xfId="1" applyNumberFormat="1" applyFont="1" applyFill="1" applyBorder="1"/>
    <xf numFmtId="9" fontId="20" fillId="6" borderId="4" xfId="3" applyFont="1" applyFill="1" applyBorder="1"/>
    <xf numFmtId="3" fontId="15" fillId="6" borderId="18" xfId="1" applyNumberFormat="1" applyFont="1" applyFill="1" applyBorder="1"/>
    <xf numFmtId="3" fontId="8" fillId="0" borderId="4" xfId="0" applyNumberFormat="1" applyFont="1" applyBorder="1" applyAlignment="1">
      <alignment horizontal="center"/>
    </xf>
    <xf numFmtId="3" fontId="16" fillId="8" borderId="4" xfId="0" applyNumberFormat="1" applyFont="1" applyFill="1" applyBorder="1"/>
    <xf numFmtId="3" fontId="16" fillId="8" borderId="17" xfId="0" applyNumberFormat="1" applyFont="1" applyFill="1" applyBorder="1"/>
    <xf numFmtId="3" fontId="19" fillId="8" borderId="4" xfId="0" applyNumberFormat="1" applyFont="1" applyFill="1" applyBorder="1"/>
    <xf numFmtId="3" fontId="16" fillId="8" borderId="18" xfId="0" applyNumberFormat="1" applyFont="1" applyFill="1" applyBorder="1"/>
    <xf numFmtId="3" fontId="14" fillId="0" borderId="4" xfId="0" applyNumberFormat="1" applyFont="1" applyBorder="1" applyAlignment="1">
      <alignment horizontal="center"/>
    </xf>
    <xf numFmtId="3" fontId="15" fillId="6" borderId="17" xfId="1" applyNumberFormat="1" applyFont="1" applyFill="1" applyBorder="1"/>
    <xf numFmtId="3" fontId="7" fillId="0" borderId="0" xfId="0" applyNumberFormat="1" applyFont="1"/>
    <xf numFmtId="41" fontId="7" fillId="0" borderId="0" xfId="0" applyNumberFormat="1" applyFont="1"/>
    <xf numFmtId="41" fontId="7" fillId="0" borderId="0" xfId="2" applyFont="1"/>
    <xf numFmtId="0" fontId="14" fillId="0" borderId="0" xfId="0" applyFont="1" applyAlignment="1">
      <alignment horizontal="center"/>
    </xf>
    <xf numFmtId="3" fontId="24" fillId="0" borderId="0" xfId="0" applyNumberFormat="1" applyFont="1" applyAlignment="1">
      <alignment horizontal="center" vertical="center"/>
    </xf>
    <xf numFmtId="0" fontId="25" fillId="0" borderId="0" xfId="0" applyFont="1"/>
    <xf numFmtId="9" fontId="25" fillId="0" borderId="0" xfId="3" applyFont="1" applyBorder="1"/>
    <xf numFmtId="0" fontId="26" fillId="0" borderId="0" xfId="0" applyFont="1"/>
    <xf numFmtId="3" fontId="28" fillId="0" borderId="0" xfId="0" applyNumberFormat="1" applyFont="1" applyAlignment="1">
      <alignment horizontal="center" vertical="center"/>
    </xf>
    <xf numFmtId="41" fontId="0" fillId="0" borderId="0" xfId="2" applyFont="1"/>
    <xf numFmtId="9" fontId="25" fillId="0" borderId="0" xfId="3" applyFont="1"/>
    <xf numFmtId="0" fontId="29" fillId="2" borderId="0" xfId="0" applyFont="1" applyFill="1"/>
    <xf numFmtId="3" fontId="23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0" fillId="10" borderId="0" xfId="0" applyFill="1" applyAlignment="1">
      <alignment horizontal="center"/>
    </xf>
    <xf numFmtId="0" fontId="32" fillId="0" borderId="0" xfId="0" applyFont="1"/>
    <xf numFmtId="0" fontId="32" fillId="0" borderId="31" xfId="0" applyFont="1" applyBorder="1"/>
    <xf numFmtId="0" fontId="36" fillId="0" borderId="32" xfId="0" applyFont="1" applyBorder="1"/>
    <xf numFmtId="0" fontId="36" fillId="0" borderId="2" xfId="0" applyFont="1" applyBorder="1"/>
    <xf numFmtId="0" fontId="37" fillId="0" borderId="0" xfId="0" applyFont="1"/>
    <xf numFmtId="0" fontId="37" fillId="0" borderId="2" xfId="0" applyFont="1" applyBorder="1"/>
    <xf numFmtId="0" fontId="32" fillId="0" borderId="2" xfId="0" applyFont="1" applyBorder="1"/>
    <xf numFmtId="0" fontId="37" fillId="0" borderId="33" xfId="0" applyFont="1" applyBorder="1"/>
    <xf numFmtId="0" fontId="37" fillId="0" borderId="3" xfId="0" applyFont="1" applyBorder="1"/>
    <xf numFmtId="0" fontId="37" fillId="0" borderId="31" xfId="0" applyFont="1" applyBorder="1"/>
    <xf numFmtId="0" fontId="37" fillId="0" borderId="34" xfId="0" applyFont="1" applyBorder="1"/>
    <xf numFmtId="9" fontId="37" fillId="0" borderId="31" xfId="3" applyFont="1" applyBorder="1"/>
    <xf numFmtId="0" fontId="37" fillId="0" borderId="32" xfId="0" applyFont="1" applyBorder="1"/>
    <xf numFmtId="3" fontId="37" fillId="8" borderId="32" xfId="0" applyNumberFormat="1" applyFont="1" applyFill="1" applyBorder="1"/>
    <xf numFmtId="9" fontId="37" fillId="8" borderId="31" xfId="3" applyFont="1" applyFill="1" applyBorder="1"/>
    <xf numFmtId="41" fontId="32" fillId="0" borderId="0" xfId="2" applyFont="1"/>
    <xf numFmtId="3" fontId="37" fillId="8" borderId="31" xfId="0" applyNumberFormat="1" applyFont="1" applyFill="1" applyBorder="1"/>
    <xf numFmtId="3" fontId="37" fillId="8" borderId="34" xfId="0" applyNumberFormat="1" applyFont="1" applyFill="1" applyBorder="1"/>
    <xf numFmtId="3" fontId="37" fillId="8" borderId="0" xfId="0" applyNumberFormat="1" applyFont="1" applyFill="1"/>
    <xf numFmtId="3" fontId="37" fillId="0" borderId="31" xfId="0" applyNumberFormat="1" applyFont="1" applyBorder="1"/>
    <xf numFmtId="3" fontId="37" fillId="0" borderId="32" xfId="0" applyNumberFormat="1" applyFont="1" applyBorder="1"/>
    <xf numFmtId="3" fontId="37" fillId="0" borderId="34" xfId="0" applyNumberFormat="1" applyFont="1" applyBorder="1"/>
    <xf numFmtId="3" fontId="37" fillId="0" borderId="0" xfId="0" applyNumberFormat="1" applyFont="1"/>
    <xf numFmtId="3" fontId="35" fillId="6" borderId="28" xfId="0" applyNumberFormat="1" applyFont="1" applyFill="1" applyBorder="1" applyAlignment="1">
      <alignment horizontal="center"/>
    </xf>
    <xf numFmtId="3" fontId="35" fillId="6" borderId="28" xfId="0" applyNumberFormat="1" applyFont="1" applyFill="1" applyBorder="1"/>
    <xf numFmtId="9" fontId="35" fillId="6" borderId="27" xfId="3" applyFont="1" applyFill="1" applyBorder="1"/>
    <xf numFmtId="3" fontId="35" fillId="6" borderId="27" xfId="0" applyNumberFormat="1" applyFont="1" applyFill="1" applyBorder="1"/>
    <xf numFmtId="3" fontId="35" fillId="6" borderId="29" xfId="0" applyNumberFormat="1" applyFont="1" applyFill="1" applyBorder="1"/>
    <xf numFmtId="9" fontId="35" fillId="6" borderId="29" xfId="3" applyFont="1" applyFill="1" applyBorder="1"/>
    <xf numFmtId="3" fontId="37" fillId="0" borderId="2" xfId="0" applyNumberFormat="1" applyFont="1" applyBorder="1"/>
    <xf numFmtId="9" fontId="37" fillId="8" borderId="0" xfId="3" applyFont="1" applyFill="1" applyBorder="1"/>
    <xf numFmtId="9" fontId="37" fillId="8" borderId="32" xfId="3" applyFont="1" applyFill="1" applyBorder="1"/>
    <xf numFmtId="3" fontId="37" fillId="9" borderId="32" xfId="0" applyNumberFormat="1" applyFont="1" applyFill="1" applyBorder="1"/>
    <xf numFmtId="9" fontId="36" fillId="8" borderId="31" xfId="3" applyFont="1" applyFill="1" applyBorder="1"/>
    <xf numFmtId="3" fontId="37" fillId="8" borderId="35" xfId="0" applyNumberFormat="1" applyFont="1" applyFill="1" applyBorder="1"/>
    <xf numFmtId="3" fontId="37" fillId="8" borderId="2" xfId="0" applyNumberFormat="1" applyFont="1" applyFill="1" applyBorder="1"/>
    <xf numFmtId="3" fontId="35" fillId="6" borderId="30" xfId="0" applyNumberFormat="1" applyFont="1" applyFill="1" applyBorder="1"/>
    <xf numFmtId="9" fontId="35" fillId="6" borderId="30" xfId="3" applyFont="1" applyFill="1" applyBorder="1"/>
    <xf numFmtId="0" fontId="34" fillId="0" borderId="0" xfId="0" applyFont="1"/>
    <xf numFmtId="0" fontId="32" fillId="2" borderId="0" xfId="0" applyFont="1" applyFill="1"/>
    <xf numFmtId="3" fontId="36" fillId="8" borderId="32" xfId="0" applyNumberFormat="1" applyFont="1" applyFill="1" applyBorder="1"/>
    <xf numFmtId="9" fontId="36" fillId="8" borderId="32" xfId="3" applyFont="1" applyFill="1" applyBorder="1"/>
    <xf numFmtId="3" fontId="37" fillId="8" borderId="36" xfId="0" applyNumberFormat="1" applyFont="1" applyFill="1" applyBorder="1"/>
    <xf numFmtId="9" fontId="37" fillId="8" borderId="35" xfId="3" applyFont="1" applyFill="1" applyBorder="1"/>
    <xf numFmtId="3" fontId="37" fillId="9" borderId="36" xfId="0" applyNumberFormat="1" applyFont="1" applyFill="1" applyBorder="1"/>
    <xf numFmtId="3" fontId="35" fillId="6" borderId="27" xfId="1" applyNumberFormat="1" applyFont="1" applyFill="1" applyBorder="1"/>
    <xf numFmtId="9" fontId="39" fillId="6" borderId="27" xfId="3" applyFont="1" applyFill="1" applyBorder="1"/>
    <xf numFmtId="3" fontId="32" fillId="0" borderId="0" xfId="0" applyNumberFormat="1" applyFont="1"/>
    <xf numFmtId="3" fontId="34" fillId="0" borderId="28" xfId="0" applyNumberFormat="1" applyFont="1" applyBorder="1"/>
    <xf numFmtId="9" fontId="35" fillId="6" borderId="28" xfId="3" applyFont="1" applyFill="1" applyBorder="1"/>
    <xf numFmtId="165" fontId="35" fillId="6" borderId="29" xfId="3" applyNumberFormat="1" applyFont="1" applyFill="1" applyBorder="1"/>
    <xf numFmtId="3" fontId="35" fillId="2" borderId="32" xfId="0" applyNumberFormat="1" applyFont="1" applyFill="1" applyBorder="1"/>
    <xf numFmtId="9" fontId="35" fillId="2" borderId="31" xfId="3" applyFont="1" applyFill="1" applyBorder="1"/>
    <xf numFmtId="41" fontId="32" fillId="2" borderId="0" xfId="2" applyFont="1" applyFill="1"/>
    <xf numFmtId="3" fontId="33" fillId="2" borderId="28" xfId="0" applyNumberFormat="1" applyFont="1" applyFill="1" applyBorder="1" applyAlignment="1">
      <alignment horizontal="center"/>
    </xf>
    <xf numFmtId="3" fontId="37" fillId="8" borderId="28" xfId="0" applyNumberFormat="1" applyFont="1" applyFill="1" applyBorder="1"/>
    <xf numFmtId="3" fontId="40" fillId="11" borderId="32" xfId="0" applyNumberFormat="1" applyFont="1" applyFill="1" applyBorder="1" applyAlignment="1">
      <alignment horizontal="center"/>
    </xf>
    <xf numFmtId="3" fontId="38" fillId="2" borderId="32" xfId="0" applyNumberFormat="1" applyFont="1" applyFill="1" applyBorder="1" applyAlignment="1">
      <alignment horizontal="center"/>
    </xf>
    <xf numFmtId="3" fontId="38" fillId="0" borderId="32" xfId="0" applyNumberFormat="1" applyFont="1" applyBorder="1" applyAlignment="1">
      <alignment horizontal="center"/>
    </xf>
    <xf numFmtId="3" fontId="35" fillId="8" borderId="27" xfId="0" applyNumberFormat="1" applyFont="1" applyFill="1" applyBorder="1" applyAlignment="1">
      <alignment horizontal="center"/>
    </xf>
    <xf numFmtId="3" fontId="35" fillId="6" borderId="27" xfId="1" applyNumberFormat="1" applyFont="1" applyFill="1" applyBorder="1" applyAlignment="1">
      <alignment horizontal="center"/>
    </xf>
    <xf numFmtId="3" fontId="40" fillId="11" borderId="27" xfId="1" applyNumberFormat="1" applyFont="1" applyFill="1" applyBorder="1" applyAlignment="1">
      <alignment horizontal="center"/>
    </xf>
    <xf numFmtId="3" fontId="40" fillId="11" borderId="27" xfId="1" applyNumberFormat="1" applyFont="1" applyFill="1" applyBorder="1"/>
    <xf numFmtId="3" fontId="40" fillId="11" borderId="30" xfId="1" applyNumberFormat="1" applyFont="1" applyFill="1" applyBorder="1"/>
    <xf numFmtId="3" fontId="40" fillId="11" borderId="29" xfId="1" applyNumberFormat="1" applyFont="1" applyFill="1" applyBorder="1"/>
    <xf numFmtId="3" fontId="40" fillId="11" borderId="28" xfId="1" applyNumberFormat="1" applyFont="1" applyFill="1" applyBorder="1"/>
    <xf numFmtId="9" fontId="40" fillId="11" borderId="27" xfId="3" applyFont="1" applyFill="1" applyBorder="1"/>
    <xf numFmtId="0" fontId="41" fillId="11" borderId="0" xfId="0" applyFont="1" applyFill="1"/>
    <xf numFmtId="3" fontId="40" fillId="11" borderId="2" xfId="0" applyNumberFormat="1" applyFont="1" applyFill="1" applyBorder="1"/>
    <xf numFmtId="3" fontId="40" fillId="11" borderId="3" xfId="0" applyNumberFormat="1" applyFont="1" applyFill="1" applyBorder="1"/>
    <xf numFmtId="9" fontId="40" fillId="11" borderId="2" xfId="3" applyFont="1" applyFill="1" applyBorder="1"/>
    <xf numFmtId="3" fontId="40" fillId="11" borderId="33" xfId="0" applyNumberFormat="1" applyFont="1" applyFill="1" applyBorder="1"/>
    <xf numFmtId="3" fontId="40" fillId="11" borderId="1" xfId="0" applyNumberFormat="1" applyFont="1" applyFill="1" applyBorder="1"/>
    <xf numFmtId="9" fontId="40" fillId="11" borderId="33" xfId="3" applyFont="1" applyFill="1" applyBorder="1"/>
    <xf numFmtId="0" fontId="8" fillId="0" borderId="0" xfId="0" applyFont="1" applyAlignment="1">
      <alignment horizontal="center" vertical="center"/>
    </xf>
    <xf numFmtId="3" fontId="3" fillId="3" borderId="27" xfId="0" applyNumberFormat="1" applyFont="1" applyFill="1" applyBorder="1" applyAlignment="1">
      <alignment horizontal="center" vertical="center"/>
    </xf>
    <xf numFmtId="3" fontId="15" fillId="3" borderId="27" xfId="0" applyNumberFormat="1" applyFont="1" applyFill="1" applyBorder="1" applyAlignment="1">
      <alignment horizontal="center" vertical="center"/>
    </xf>
    <xf numFmtId="9" fontId="15" fillId="3" borderId="27" xfId="3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41" fontId="8" fillId="0" borderId="0" xfId="2" applyFont="1" applyAlignment="1">
      <alignment horizontal="center" vertical="center"/>
    </xf>
    <xf numFmtId="41" fontId="8" fillId="0" borderId="0" xfId="2" applyFont="1" applyAlignment="1">
      <alignment vertical="center"/>
    </xf>
    <xf numFmtId="3" fontId="36" fillId="8" borderId="0" xfId="0" applyNumberFormat="1" applyFont="1" applyFill="1"/>
    <xf numFmtId="3" fontId="42" fillId="0" borderId="0" xfId="0" applyNumberFormat="1" applyFont="1"/>
    <xf numFmtId="43" fontId="7" fillId="0" borderId="0" xfId="0" applyNumberFormat="1" applyFont="1"/>
    <xf numFmtId="3" fontId="4" fillId="2" borderId="0" xfId="0" applyNumberFormat="1" applyFont="1" applyFill="1" applyAlignment="1">
      <alignment horizontal="center" vertical="center"/>
    </xf>
    <xf numFmtId="3" fontId="15" fillId="3" borderId="28" xfId="0" applyNumberFormat="1" applyFont="1" applyFill="1" applyBorder="1" applyAlignment="1">
      <alignment horizontal="center" vertical="center"/>
    </xf>
    <xf numFmtId="3" fontId="15" fillId="3" borderId="30" xfId="0" applyNumberFormat="1" applyFont="1" applyFill="1" applyBorder="1" applyAlignment="1">
      <alignment horizontal="center" vertical="center"/>
    </xf>
    <xf numFmtId="4" fontId="7" fillId="0" borderId="0" xfId="0" applyNumberFormat="1" applyFont="1"/>
    <xf numFmtId="3" fontId="36" fillId="8" borderId="31" xfId="0" applyNumberFormat="1" applyFont="1" applyFill="1" applyBorder="1"/>
    <xf numFmtId="41" fontId="43" fillId="0" borderId="0" xfId="2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36" fillId="9" borderId="32" xfId="0" applyNumberFormat="1" applyFont="1" applyFill="1" applyBorder="1"/>
    <xf numFmtId="3" fontId="36" fillId="9" borderId="31" xfId="0" applyNumberFormat="1" applyFont="1" applyFill="1" applyBorder="1"/>
    <xf numFmtId="9" fontId="0" fillId="12" borderId="0" xfId="3" applyFont="1" applyFill="1" applyAlignment="1">
      <alignment horizontal="center"/>
    </xf>
    <xf numFmtId="9" fontId="0" fillId="12" borderId="0" xfId="3" applyFont="1" applyFill="1"/>
    <xf numFmtId="3" fontId="37" fillId="12" borderId="0" xfId="0" applyNumberFormat="1" applyFont="1" applyFill="1"/>
    <xf numFmtId="0" fontId="29" fillId="0" borderId="0" xfId="0" applyFont="1"/>
    <xf numFmtId="167" fontId="37" fillId="8" borderId="4" xfId="1" applyNumberFormat="1" applyFont="1" applyFill="1" applyBorder="1"/>
    <xf numFmtId="0" fontId="32" fillId="0" borderId="0" xfId="0" applyFont="1" applyAlignment="1">
      <alignment horizontal="center" vertical="center"/>
    </xf>
    <xf numFmtId="3" fontId="35" fillId="3" borderId="4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167" fontId="35" fillId="0" borderId="4" xfId="0" applyNumberFormat="1" applyFont="1" applyBorder="1" applyAlignment="1">
      <alignment horizontal="center"/>
    </xf>
    <xf numFmtId="0" fontId="37" fillId="2" borderId="4" xfId="0" applyFont="1" applyFill="1" applyBorder="1" applyAlignment="1">
      <alignment horizontal="justify" vertical="center"/>
    </xf>
    <xf numFmtId="167" fontId="37" fillId="0" borderId="4" xfId="1" applyNumberFormat="1" applyFont="1" applyBorder="1"/>
    <xf numFmtId="9" fontId="37" fillId="0" borderId="4" xfId="3" applyFont="1" applyBorder="1"/>
    <xf numFmtId="0" fontId="37" fillId="2" borderId="0" xfId="0" applyFont="1" applyFill="1"/>
    <xf numFmtId="166" fontId="37" fillId="0" borderId="4" xfId="1" applyNumberFormat="1" applyFont="1" applyBorder="1"/>
    <xf numFmtId="0" fontId="46" fillId="0" borderId="0" xfId="0" applyFont="1"/>
    <xf numFmtId="0" fontId="35" fillId="0" borderId="4" xfId="0" applyFont="1" applyBorder="1" applyAlignment="1">
      <alignment horizontal="center"/>
    </xf>
    <xf numFmtId="9" fontId="35" fillId="0" borderId="4" xfId="3" applyFont="1" applyBorder="1" applyAlignment="1">
      <alignment horizontal="center"/>
    </xf>
    <xf numFmtId="3" fontId="45" fillId="10" borderId="37" xfId="0" applyNumberFormat="1" applyFont="1" applyFill="1" applyBorder="1" applyAlignment="1">
      <alignment horizontal="center" vertical="center" wrapText="1"/>
    </xf>
    <xf numFmtId="3" fontId="45" fillId="10" borderId="0" xfId="0" applyNumberFormat="1" applyFont="1" applyFill="1" applyAlignment="1">
      <alignment horizontal="center" vertical="center" wrapText="1"/>
    </xf>
    <xf numFmtId="3" fontId="45" fillId="10" borderId="37" xfId="0" applyNumberFormat="1" applyFont="1" applyFill="1" applyBorder="1" applyAlignment="1">
      <alignment horizontal="center" vertical="center"/>
    </xf>
    <xf numFmtId="3" fontId="45" fillId="10" borderId="0" xfId="0" applyNumberFormat="1" applyFont="1" applyFill="1" applyAlignment="1">
      <alignment horizontal="center" vertical="center"/>
    </xf>
    <xf numFmtId="3" fontId="33" fillId="3" borderId="18" xfId="0" applyNumberFormat="1" applyFont="1" applyFill="1" applyBorder="1" applyAlignment="1">
      <alignment horizontal="center" vertical="center"/>
    </xf>
    <xf numFmtId="3" fontId="33" fillId="3" borderId="38" xfId="0" applyNumberFormat="1" applyFont="1" applyFill="1" applyBorder="1" applyAlignment="1">
      <alignment horizontal="center" vertical="center"/>
    </xf>
    <xf numFmtId="3" fontId="33" fillId="3" borderId="17" xfId="0" applyNumberFormat="1" applyFont="1" applyFill="1" applyBorder="1" applyAlignment="1">
      <alignment horizontal="center" vertical="center"/>
    </xf>
    <xf numFmtId="3" fontId="33" fillId="3" borderId="4" xfId="0" applyNumberFormat="1" applyFont="1" applyFill="1" applyBorder="1" applyAlignment="1">
      <alignment horizontal="center" vertical="center"/>
    </xf>
    <xf numFmtId="0" fontId="0" fillId="10" borderId="4" xfId="0" applyFill="1" applyBorder="1" applyAlignment="1">
      <alignment horizontal="center"/>
    </xf>
    <xf numFmtId="3" fontId="30" fillId="10" borderId="0" xfId="0" applyNumberFormat="1" applyFont="1" applyFill="1" applyAlignment="1">
      <alignment horizontal="center" vertical="center"/>
    </xf>
    <xf numFmtId="3" fontId="31" fillId="10" borderId="0" xfId="0" applyNumberFormat="1" applyFont="1" applyFill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35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 wrapText="1"/>
    </xf>
    <xf numFmtId="3" fontId="3" fillId="3" borderId="35" xfId="0" applyNumberFormat="1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3" fontId="3" fillId="3" borderId="28" xfId="0" applyNumberFormat="1" applyFont="1" applyFill="1" applyBorder="1" applyAlignment="1">
      <alignment horizontal="center" vertical="center"/>
    </xf>
    <xf numFmtId="3" fontId="3" fillId="3" borderId="29" xfId="0" applyNumberFormat="1" applyFont="1" applyFill="1" applyBorder="1" applyAlignment="1">
      <alignment horizontal="center" vertical="center"/>
    </xf>
    <xf numFmtId="3" fontId="3" fillId="3" borderId="30" xfId="0" applyNumberFormat="1" applyFont="1" applyFill="1" applyBorder="1" applyAlignment="1">
      <alignment horizontal="center" vertical="center"/>
    </xf>
    <xf numFmtId="41" fontId="35" fillId="8" borderId="28" xfId="2" applyFont="1" applyFill="1" applyBorder="1" applyAlignment="1">
      <alignment horizontal="center"/>
    </xf>
    <xf numFmtId="41" fontId="35" fillId="8" borderId="29" xfId="2" applyFont="1" applyFill="1" applyBorder="1" applyAlignment="1">
      <alignment horizontal="center"/>
    </xf>
    <xf numFmtId="41" fontId="35" fillId="8" borderId="30" xfId="2" applyFont="1" applyFill="1" applyBorder="1" applyAlignment="1">
      <alignment horizontal="center"/>
    </xf>
    <xf numFmtId="3" fontId="35" fillId="8" borderId="28" xfId="0" applyNumberFormat="1" applyFont="1" applyFill="1" applyBorder="1" applyAlignment="1">
      <alignment horizontal="center"/>
    </xf>
    <xf numFmtId="3" fontId="35" fillId="8" borderId="29" xfId="0" applyNumberFormat="1" applyFont="1" applyFill="1" applyBorder="1" applyAlignment="1">
      <alignment horizontal="center"/>
    </xf>
    <xf numFmtId="3" fontId="35" fillId="8" borderId="30" xfId="0" applyNumberFormat="1" applyFont="1" applyFill="1" applyBorder="1" applyAlignment="1">
      <alignment horizontal="center"/>
    </xf>
    <xf numFmtId="3" fontId="15" fillId="3" borderId="28" xfId="0" applyNumberFormat="1" applyFont="1" applyFill="1" applyBorder="1" applyAlignment="1">
      <alignment horizontal="center" vertical="center"/>
    </xf>
    <xf numFmtId="3" fontId="15" fillId="3" borderId="29" xfId="0" applyNumberFormat="1" applyFont="1" applyFill="1" applyBorder="1" applyAlignment="1">
      <alignment horizontal="center" vertical="center"/>
    </xf>
    <xf numFmtId="3" fontId="15" fillId="3" borderId="30" xfId="0" applyNumberFormat="1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3" fontId="35" fillId="8" borderId="28" xfId="0" applyNumberFormat="1" applyFont="1" applyFill="1" applyBorder="1" applyAlignment="1">
      <alignment horizontal="right"/>
    </xf>
    <xf numFmtId="3" fontId="35" fillId="8" borderId="29" xfId="0" applyNumberFormat="1" applyFont="1" applyFill="1" applyBorder="1" applyAlignment="1">
      <alignment horizontal="right"/>
    </xf>
    <xf numFmtId="3" fontId="35" fillId="8" borderId="30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justify" vertical="center" wrapText="1"/>
    </xf>
    <xf numFmtId="167" fontId="26" fillId="0" borderId="0" xfId="0" applyNumberFormat="1" applyFont="1"/>
  </cellXfs>
  <cellStyles count="5">
    <cellStyle name="Millares" xfId="1" builtinId="3"/>
    <cellStyle name="Millares [0]" xfId="2" builtinId="6"/>
    <cellStyle name="Normal" xfId="0" builtinId="0"/>
    <cellStyle name="Normal 2" xfId="4" xr:uid="{A9087DD4-5340-47A4-9B01-D1DBB7C2E55B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</xdr:colOff>
      <xdr:row>0</xdr:row>
      <xdr:rowOff>71701</xdr:rowOff>
    </xdr:from>
    <xdr:to>
      <xdr:col>0</xdr:col>
      <xdr:colOff>1655884</xdr:colOff>
      <xdr:row>1</xdr:row>
      <xdr:rowOff>76604</xdr:rowOff>
    </xdr:to>
    <xdr:pic>
      <xdr:nvPicPr>
        <xdr:cNvPr id="2" name="16 Imagen" descr="C:\Users\HOGAR\AppData\Local\Temp\Rar$DI01.388\INCIDE SAS- Logo AZU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" y="71701"/>
          <a:ext cx="1652221" cy="547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20412</xdr:rowOff>
    </xdr:from>
    <xdr:to>
      <xdr:col>0</xdr:col>
      <xdr:colOff>2115911</xdr:colOff>
      <xdr:row>2</xdr:row>
      <xdr:rowOff>190160</xdr:rowOff>
    </xdr:to>
    <xdr:pic>
      <xdr:nvPicPr>
        <xdr:cNvPr id="2" name="16 Imagen" descr="C:\Users\HOGAR\AppData\Local\Temp\Rar$DI01.388\INCIDE SAS- Logo AZUL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0412"/>
          <a:ext cx="1973036" cy="655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109489</xdr:colOff>
      <xdr:row>0</xdr:row>
      <xdr:rowOff>40173</xdr:rowOff>
    </xdr:from>
    <xdr:to>
      <xdr:col>0</xdr:col>
      <xdr:colOff>2299138</xdr:colOff>
      <xdr:row>4</xdr:row>
      <xdr:rowOff>165259</xdr:rowOff>
    </xdr:to>
    <xdr:pic>
      <xdr:nvPicPr>
        <xdr:cNvPr id="2" name="16 Imagen" descr="C:\Users\HOGAR\AppData\Local\Temp\Rar$DI01.388\INCIDE SAS- Logo AZUL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89" y="40173"/>
          <a:ext cx="2189649" cy="887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enciapc/Documents/ADRIANA%20ESCRITORIO/ADRIANA%20INCIDE%20GERENCIA/PAGO%20PROVEDORES/2020/PAGO%20PROVEEDORES%20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enciapc/Documents/ADRIANA%20ESCRITORIO/ADRIANA%20INCIDE%20GERENCIA/PAGO%20PROVEDORES/2019/PAGO%20PROVEEDORES%20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XP 2017"/>
      <sheetName val="CXP PROVE "/>
      <sheetName val="CXP HONORA"/>
      <sheetName val="Relación de Pagos"/>
      <sheetName val="FX MEDICOS"/>
      <sheetName val="Banco"/>
      <sheetName val="relacion de Recaudo"/>
      <sheetName val="informe Banco diario"/>
      <sheetName val="Relación Egresos"/>
      <sheetName val="flujo de caja diario"/>
      <sheetName val="Caja men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B8">
            <v>65722442</v>
          </cell>
        </row>
        <row r="12">
          <cell r="B12">
            <v>72562806.130481243</v>
          </cell>
        </row>
        <row r="17">
          <cell r="B17">
            <v>90885148</v>
          </cell>
        </row>
        <row r="18">
          <cell r="B18">
            <v>208229860.27000001</v>
          </cell>
        </row>
      </sheetData>
      <sheetData sheetId="6" refreshError="1">
        <row r="34">
          <cell r="K34">
            <v>113000</v>
          </cell>
          <cell r="L34">
            <v>0</v>
          </cell>
          <cell r="N34">
            <v>71000</v>
          </cell>
        </row>
      </sheetData>
      <sheetData sheetId="7" refreshError="1"/>
      <sheetData sheetId="8" refreshError="1">
        <row r="4">
          <cell r="D4">
            <v>1305736</v>
          </cell>
        </row>
        <row r="5">
          <cell r="D5">
            <v>5259800</v>
          </cell>
        </row>
        <row r="6">
          <cell r="D6">
            <v>3512182</v>
          </cell>
        </row>
        <row r="7">
          <cell r="D7">
            <v>120000</v>
          </cell>
        </row>
        <row r="8">
          <cell r="D8">
            <v>116971</v>
          </cell>
        </row>
        <row r="9">
          <cell r="E9">
            <v>306953</v>
          </cell>
        </row>
        <row r="10">
          <cell r="E10">
            <v>16660</v>
          </cell>
        </row>
        <row r="11">
          <cell r="E11">
            <v>64000</v>
          </cell>
        </row>
        <row r="12">
          <cell r="E12">
            <v>542308</v>
          </cell>
        </row>
        <row r="13">
          <cell r="E13">
            <v>1989000</v>
          </cell>
        </row>
        <row r="14">
          <cell r="E14">
            <v>50000</v>
          </cell>
        </row>
        <row r="15">
          <cell r="E15">
            <v>10878</v>
          </cell>
        </row>
        <row r="16">
          <cell r="E16">
            <v>14504</v>
          </cell>
        </row>
        <row r="17">
          <cell r="E17">
            <v>1012000</v>
          </cell>
        </row>
        <row r="18">
          <cell r="E18">
            <v>37800</v>
          </cell>
        </row>
        <row r="19">
          <cell r="E19">
            <v>59548</v>
          </cell>
        </row>
        <row r="20">
          <cell r="E20">
            <v>330800</v>
          </cell>
        </row>
        <row r="21">
          <cell r="E21">
            <v>159820</v>
          </cell>
        </row>
        <row r="22">
          <cell r="E22">
            <v>417365</v>
          </cell>
        </row>
        <row r="23">
          <cell r="D23">
            <v>953550</v>
          </cell>
        </row>
        <row r="24">
          <cell r="D24">
            <v>7155852</v>
          </cell>
        </row>
        <row r="25">
          <cell r="D25">
            <v>6135575</v>
          </cell>
        </row>
        <row r="26">
          <cell r="D26">
            <v>15966000</v>
          </cell>
        </row>
        <row r="27">
          <cell r="D27">
            <v>594707</v>
          </cell>
        </row>
        <row r="28">
          <cell r="D28">
            <v>16256197</v>
          </cell>
        </row>
        <row r="29">
          <cell r="D29">
            <v>11234317</v>
          </cell>
        </row>
        <row r="30">
          <cell r="D30">
            <v>20822987</v>
          </cell>
        </row>
        <row r="31">
          <cell r="D31">
            <v>11958441</v>
          </cell>
        </row>
        <row r="32">
          <cell r="D32">
            <v>8284950</v>
          </cell>
        </row>
        <row r="33">
          <cell r="D33">
            <v>400017</v>
          </cell>
        </row>
        <row r="34">
          <cell r="D34">
            <v>1780687</v>
          </cell>
        </row>
        <row r="35">
          <cell r="D35">
            <v>591611</v>
          </cell>
        </row>
        <row r="36">
          <cell r="D36">
            <v>939699</v>
          </cell>
        </row>
        <row r="37">
          <cell r="D37">
            <v>845611</v>
          </cell>
        </row>
        <row r="38">
          <cell r="D38">
            <v>828116</v>
          </cell>
        </row>
        <row r="39">
          <cell r="D39">
            <v>4711103</v>
          </cell>
        </row>
        <row r="40">
          <cell r="D40">
            <v>4000000</v>
          </cell>
        </row>
        <row r="41">
          <cell r="D41">
            <v>792217</v>
          </cell>
        </row>
        <row r="42">
          <cell r="D42">
            <v>410558</v>
          </cell>
        </row>
        <row r="43">
          <cell r="D43">
            <v>1424000</v>
          </cell>
        </row>
        <row r="44">
          <cell r="D44">
            <v>4176891</v>
          </cell>
        </row>
        <row r="45">
          <cell r="D45">
            <v>366975</v>
          </cell>
        </row>
        <row r="46">
          <cell r="D46">
            <v>217335</v>
          </cell>
        </row>
        <row r="47">
          <cell r="D47">
            <v>457000</v>
          </cell>
        </row>
        <row r="48">
          <cell r="D48">
            <v>2145000</v>
          </cell>
        </row>
        <row r="49">
          <cell r="D49">
            <v>2093140</v>
          </cell>
        </row>
        <row r="50">
          <cell r="D50">
            <v>263200</v>
          </cell>
        </row>
        <row r="51">
          <cell r="D51">
            <v>738720</v>
          </cell>
        </row>
        <row r="52">
          <cell r="D52">
            <v>281930</v>
          </cell>
        </row>
        <row r="53">
          <cell r="D53">
            <v>696584</v>
          </cell>
        </row>
        <row r="54">
          <cell r="D54">
            <v>102400</v>
          </cell>
        </row>
        <row r="55">
          <cell r="D55">
            <v>162400</v>
          </cell>
        </row>
        <row r="56">
          <cell r="D56">
            <v>102400</v>
          </cell>
        </row>
        <row r="57">
          <cell r="D57">
            <v>162400</v>
          </cell>
        </row>
        <row r="58">
          <cell r="D58">
            <v>1415588</v>
          </cell>
        </row>
        <row r="59">
          <cell r="D59">
            <v>358190</v>
          </cell>
        </row>
        <row r="60">
          <cell r="D60">
            <v>358190</v>
          </cell>
        </row>
        <row r="61">
          <cell r="D61">
            <v>394462</v>
          </cell>
        </row>
        <row r="62">
          <cell r="D62">
            <v>160000</v>
          </cell>
        </row>
        <row r="63">
          <cell r="D63">
            <v>1823250</v>
          </cell>
        </row>
        <row r="64">
          <cell r="D64">
            <v>179887</v>
          </cell>
        </row>
        <row r="65">
          <cell r="D65">
            <v>2193750</v>
          </cell>
        </row>
        <row r="66">
          <cell r="D66">
            <v>1722000</v>
          </cell>
        </row>
        <row r="67">
          <cell r="D67">
            <v>176085</v>
          </cell>
        </row>
        <row r="68">
          <cell r="D68">
            <v>425072</v>
          </cell>
        </row>
        <row r="69">
          <cell r="D69">
            <v>1351641</v>
          </cell>
        </row>
        <row r="70">
          <cell r="D70">
            <v>1054170</v>
          </cell>
        </row>
        <row r="71">
          <cell r="D71">
            <v>852959</v>
          </cell>
        </row>
        <row r="72">
          <cell r="D72">
            <v>1006520</v>
          </cell>
        </row>
        <row r="73">
          <cell r="D73">
            <v>546975</v>
          </cell>
        </row>
        <row r="74">
          <cell r="D74">
            <v>3540420</v>
          </cell>
        </row>
        <row r="75">
          <cell r="D75">
            <v>3801065</v>
          </cell>
        </row>
        <row r="76">
          <cell r="D76">
            <v>248625</v>
          </cell>
        </row>
        <row r="77">
          <cell r="D77">
            <v>248625</v>
          </cell>
        </row>
        <row r="78">
          <cell r="D78">
            <v>795600</v>
          </cell>
        </row>
        <row r="79">
          <cell r="D79">
            <v>2259590</v>
          </cell>
        </row>
        <row r="80">
          <cell r="D80">
            <v>1442025</v>
          </cell>
        </row>
        <row r="81">
          <cell r="D81">
            <v>1193400</v>
          </cell>
        </row>
        <row r="82">
          <cell r="D82">
            <v>3441017</v>
          </cell>
        </row>
        <row r="83">
          <cell r="D83">
            <v>1131175</v>
          </cell>
        </row>
        <row r="84">
          <cell r="D84">
            <v>1190000</v>
          </cell>
        </row>
        <row r="85">
          <cell r="D85">
            <v>1404284</v>
          </cell>
        </row>
        <row r="86">
          <cell r="D86">
            <v>3716768</v>
          </cell>
        </row>
        <row r="87">
          <cell r="D87">
            <v>1060780</v>
          </cell>
        </row>
        <row r="88">
          <cell r="D88">
            <v>3160210</v>
          </cell>
        </row>
        <row r="89">
          <cell r="D89">
            <v>14684109</v>
          </cell>
        </row>
        <row r="90">
          <cell r="D90">
            <v>1921377</v>
          </cell>
        </row>
        <row r="91">
          <cell r="D91">
            <v>5712586</v>
          </cell>
        </row>
        <row r="92">
          <cell r="D92">
            <v>6067649</v>
          </cell>
        </row>
        <row r="93">
          <cell r="D93">
            <v>30226963</v>
          </cell>
        </row>
        <row r="94">
          <cell r="D94">
            <v>4691354</v>
          </cell>
        </row>
        <row r="95">
          <cell r="D95">
            <v>13364813</v>
          </cell>
        </row>
        <row r="96">
          <cell r="D96">
            <v>11709505</v>
          </cell>
        </row>
        <row r="98">
          <cell r="D98">
            <v>361307</v>
          </cell>
        </row>
        <row r="99">
          <cell r="D99">
            <v>825524</v>
          </cell>
        </row>
        <row r="100">
          <cell r="D100">
            <v>2406295</v>
          </cell>
        </row>
        <row r="101">
          <cell r="D101">
            <v>150000</v>
          </cell>
        </row>
        <row r="102">
          <cell r="D102">
            <v>105000</v>
          </cell>
        </row>
        <row r="104">
          <cell r="D104">
            <v>88111</v>
          </cell>
        </row>
        <row r="105">
          <cell r="E105">
            <v>80000</v>
          </cell>
        </row>
        <row r="106">
          <cell r="E106">
            <v>60000</v>
          </cell>
        </row>
        <row r="107">
          <cell r="E107">
            <v>144800</v>
          </cell>
        </row>
        <row r="108">
          <cell r="E108">
            <v>60000</v>
          </cell>
        </row>
        <row r="109">
          <cell r="E109">
            <v>259900</v>
          </cell>
        </row>
        <row r="112">
          <cell r="E112">
            <v>306953</v>
          </cell>
        </row>
        <row r="113">
          <cell r="E113">
            <v>80000</v>
          </cell>
        </row>
        <row r="114">
          <cell r="E114">
            <v>1075771</v>
          </cell>
        </row>
        <row r="115">
          <cell r="D115">
            <v>1727222</v>
          </cell>
        </row>
        <row r="116">
          <cell r="D116">
            <v>3271102</v>
          </cell>
        </row>
        <row r="117">
          <cell r="D117">
            <v>5551200</v>
          </cell>
        </row>
        <row r="118">
          <cell r="D118">
            <v>543658</v>
          </cell>
        </row>
        <row r="119">
          <cell r="D119">
            <v>6135554</v>
          </cell>
        </row>
        <row r="120">
          <cell r="D120">
            <v>166250</v>
          </cell>
        </row>
        <row r="121">
          <cell r="D121">
            <v>16616967</v>
          </cell>
        </row>
        <row r="122">
          <cell r="D122">
            <v>18191000</v>
          </cell>
        </row>
        <row r="123">
          <cell r="D123">
            <v>120000</v>
          </cell>
        </row>
        <row r="124">
          <cell r="D124">
            <v>164080</v>
          </cell>
        </row>
        <row r="125">
          <cell r="D125">
            <v>2698785</v>
          </cell>
        </row>
        <row r="126">
          <cell r="D126">
            <v>281150</v>
          </cell>
        </row>
        <row r="127">
          <cell r="D127">
            <v>6045000</v>
          </cell>
        </row>
        <row r="128">
          <cell r="D128">
            <v>1343706</v>
          </cell>
        </row>
        <row r="129">
          <cell r="D129">
            <v>590830</v>
          </cell>
        </row>
        <row r="130">
          <cell r="D130">
            <v>2056225</v>
          </cell>
        </row>
        <row r="131">
          <cell r="D131">
            <v>1864845</v>
          </cell>
        </row>
        <row r="132">
          <cell r="D132">
            <v>424497</v>
          </cell>
        </row>
        <row r="133">
          <cell r="D133">
            <v>457000</v>
          </cell>
        </row>
        <row r="134">
          <cell r="D134">
            <v>432685</v>
          </cell>
        </row>
        <row r="135">
          <cell r="D135">
            <v>2592764</v>
          </cell>
        </row>
        <row r="136">
          <cell r="D136">
            <v>281930</v>
          </cell>
        </row>
        <row r="137">
          <cell r="D137">
            <v>892083</v>
          </cell>
        </row>
        <row r="138">
          <cell r="D138">
            <v>153600</v>
          </cell>
        </row>
        <row r="139">
          <cell r="D139">
            <v>120000</v>
          </cell>
        </row>
        <row r="140">
          <cell r="D140">
            <v>153600</v>
          </cell>
        </row>
        <row r="141">
          <cell r="D141">
            <v>102400</v>
          </cell>
        </row>
        <row r="142">
          <cell r="D142">
            <v>2831177</v>
          </cell>
        </row>
        <row r="143">
          <cell r="D143">
            <v>338513</v>
          </cell>
        </row>
        <row r="144">
          <cell r="D144">
            <v>130900</v>
          </cell>
        </row>
        <row r="145">
          <cell r="D145">
            <v>160000</v>
          </cell>
        </row>
        <row r="146">
          <cell r="D146">
            <v>1267500</v>
          </cell>
        </row>
        <row r="147">
          <cell r="D147">
            <v>1395000</v>
          </cell>
        </row>
        <row r="148">
          <cell r="D148">
            <v>359775</v>
          </cell>
        </row>
        <row r="149">
          <cell r="D149">
            <v>2808000</v>
          </cell>
        </row>
        <row r="150">
          <cell r="D150">
            <v>1722000</v>
          </cell>
        </row>
        <row r="151">
          <cell r="D151">
            <v>109200</v>
          </cell>
        </row>
        <row r="152">
          <cell r="D152">
            <v>550440</v>
          </cell>
        </row>
        <row r="153">
          <cell r="D153">
            <v>1351641</v>
          </cell>
        </row>
        <row r="154">
          <cell r="D154">
            <v>1351641</v>
          </cell>
        </row>
        <row r="155">
          <cell r="D155">
            <v>447525</v>
          </cell>
        </row>
        <row r="156">
          <cell r="D156">
            <v>2734875</v>
          </cell>
        </row>
        <row r="157">
          <cell r="D157">
            <v>4051271</v>
          </cell>
        </row>
        <row r="158">
          <cell r="D158">
            <v>1066190</v>
          </cell>
        </row>
        <row r="159">
          <cell r="D159">
            <v>3367636</v>
          </cell>
        </row>
        <row r="160">
          <cell r="D160">
            <v>556920</v>
          </cell>
        </row>
        <row r="161">
          <cell r="D161">
            <v>4188920</v>
          </cell>
        </row>
        <row r="162">
          <cell r="D162">
            <v>1101584</v>
          </cell>
        </row>
        <row r="163">
          <cell r="D163">
            <v>224250</v>
          </cell>
        </row>
        <row r="164">
          <cell r="D164">
            <v>5300113</v>
          </cell>
        </row>
        <row r="165">
          <cell r="D165">
            <v>1873316</v>
          </cell>
        </row>
        <row r="166">
          <cell r="D166">
            <v>380256</v>
          </cell>
        </row>
        <row r="167">
          <cell r="D167">
            <v>3082950</v>
          </cell>
        </row>
        <row r="168">
          <cell r="D168">
            <v>3441017</v>
          </cell>
        </row>
        <row r="169">
          <cell r="D169">
            <v>1131175</v>
          </cell>
        </row>
        <row r="170">
          <cell r="D170">
            <v>700000</v>
          </cell>
        </row>
        <row r="171">
          <cell r="D171">
            <v>2094346</v>
          </cell>
        </row>
        <row r="172">
          <cell r="D172">
            <v>18531997</v>
          </cell>
        </row>
        <row r="173">
          <cell r="D173">
            <v>1247850</v>
          </cell>
        </row>
        <row r="174">
          <cell r="D174">
            <v>2456488</v>
          </cell>
        </row>
        <row r="175">
          <cell r="D175">
            <v>13004946</v>
          </cell>
        </row>
        <row r="176">
          <cell r="D176">
            <v>10807188</v>
          </cell>
        </row>
        <row r="177">
          <cell r="D177">
            <v>3033825</v>
          </cell>
        </row>
        <row r="178">
          <cell r="D178">
            <v>21093046</v>
          </cell>
        </row>
        <row r="179">
          <cell r="D179">
            <v>6067649</v>
          </cell>
        </row>
        <row r="180">
          <cell r="D180">
            <v>10890420</v>
          </cell>
        </row>
        <row r="181">
          <cell r="D181">
            <v>8284950</v>
          </cell>
        </row>
        <row r="182">
          <cell r="D182">
            <v>277723</v>
          </cell>
        </row>
        <row r="183">
          <cell r="D183">
            <v>1637707</v>
          </cell>
        </row>
        <row r="184">
          <cell r="D184">
            <v>939699</v>
          </cell>
        </row>
        <row r="185">
          <cell r="D185">
            <v>725813</v>
          </cell>
        </row>
        <row r="186">
          <cell r="D186">
            <v>828116</v>
          </cell>
        </row>
        <row r="187">
          <cell r="D187">
            <v>8711103</v>
          </cell>
        </row>
        <row r="188">
          <cell r="D188">
            <v>704767</v>
          </cell>
        </row>
        <row r="189">
          <cell r="D189">
            <v>410558</v>
          </cell>
        </row>
        <row r="190">
          <cell r="D190">
            <v>5282367</v>
          </cell>
        </row>
        <row r="191">
          <cell r="D191">
            <v>862911</v>
          </cell>
        </row>
        <row r="192">
          <cell r="E192">
            <v>62717</v>
          </cell>
        </row>
        <row r="193">
          <cell r="E193">
            <v>22500</v>
          </cell>
        </row>
        <row r="194">
          <cell r="E194">
            <v>43590</v>
          </cell>
        </row>
        <row r="195">
          <cell r="E195">
            <v>15508</v>
          </cell>
        </row>
        <row r="196">
          <cell r="E196">
            <v>9280</v>
          </cell>
        </row>
        <row r="197">
          <cell r="E197">
            <v>15000</v>
          </cell>
        </row>
        <row r="198">
          <cell r="E198">
            <v>109800</v>
          </cell>
        </row>
        <row r="199">
          <cell r="E199">
            <v>13969</v>
          </cell>
        </row>
        <row r="200">
          <cell r="E200">
            <v>27800</v>
          </cell>
        </row>
        <row r="201">
          <cell r="E201">
            <v>219000</v>
          </cell>
        </row>
        <row r="202">
          <cell r="E202">
            <v>20000</v>
          </cell>
        </row>
        <row r="203">
          <cell r="E203">
            <v>30000</v>
          </cell>
        </row>
        <row r="204">
          <cell r="E204">
            <v>5535</v>
          </cell>
        </row>
        <row r="205">
          <cell r="E205">
            <v>280000</v>
          </cell>
        </row>
        <row r="206">
          <cell r="E206">
            <v>16055</v>
          </cell>
        </row>
        <row r="207">
          <cell r="E207">
            <v>18000</v>
          </cell>
        </row>
        <row r="208">
          <cell r="E208">
            <v>15900</v>
          </cell>
        </row>
        <row r="209">
          <cell r="E209">
            <v>35573</v>
          </cell>
        </row>
        <row r="210">
          <cell r="E210">
            <v>417365</v>
          </cell>
        </row>
        <row r="211">
          <cell r="E211">
            <v>105000</v>
          </cell>
        </row>
        <row r="212">
          <cell r="E212">
            <v>327820</v>
          </cell>
        </row>
        <row r="213">
          <cell r="E213">
            <v>419800</v>
          </cell>
        </row>
        <row r="214">
          <cell r="D214">
            <v>1432325</v>
          </cell>
        </row>
        <row r="215">
          <cell r="D215">
            <v>3680140</v>
          </cell>
        </row>
        <row r="216">
          <cell r="D216">
            <v>953550</v>
          </cell>
        </row>
        <row r="217">
          <cell r="D217">
            <v>3721980</v>
          </cell>
        </row>
        <row r="218">
          <cell r="D218">
            <v>17055600</v>
          </cell>
        </row>
        <row r="219">
          <cell r="D219">
            <v>105000</v>
          </cell>
        </row>
        <row r="220">
          <cell r="D220">
            <v>150000</v>
          </cell>
        </row>
        <row r="221">
          <cell r="D221">
            <v>15220860</v>
          </cell>
        </row>
        <row r="222">
          <cell r="D222">
            <v>11709505</v>
          </cell>
        </row>
        <row r="223">
          <cell r="D223">
            <v>4694490</v>
          </cell>
        </row>
        <row r="224">
          <cell r="D224">
            <v>640912</v>
          </cell>
        </row>
        <row r="225">
          <cell r="E225">
            <v>300000</v>
          </cell>
        </row>
        <row r="226">
          <cell r="E226">
            <v>2190000</v>
          </cell>
        </row>
        <row r="227">
          <cell r="E227">
            <v>175000</v>
          </cell>
        </row>
        <row r="228">
          <cell r="D228">
            <v>5119</v>
          </cell>
        </row>
        <row r="229">
          <cell r="F229">
            <v>304622804</v>
          </cell>
        </row>
        <row r="230">
          <cell r="E230">
            <v>306953</v>
          </cell>
        </row>
        <row r="231">
          <cell r="D231">
            <v>361307</v>
          </cell>
        </row>
        <row r="232">
          <cell r="D232">
            <v>50915</v>
          </cell>
        </row>
        <row r="233">
          <cell r="D233">
            <v>975000</v>
          </cell>
        </row>
        <row r="234">
          <cell r="D234">
            <v>5560400</v>
          </cell>
        </row>
        <row r="235">
          <cell r="D235">
            <v>3591072</v>
          </cell>
        </row>
        <row r="236">
          <cell r="D236">
            <v>4268939</v>
          </cell>
        </row>
        <row r="237">
          <cell r="D237">
            <v>542308</v>
          </cell>
        </row>
        <row r="238">
          <cell r="D238">
            <v>1042660</v>
          </cell>
        </row>
        <row r="239">
          <cell r="D239">
            <v>635440</v>
          </cell>
        </row>
        <row r="240">
          <cell r="D240">
            <v>628368</v>
          </cell>
        </row>
        <row r="241">
          <cell r="D241">
            <v>2998418</v>
          </cell>
        </row>
        <row r="242">
          <cell r="D242">
            <v>2242500</v>
          </cell>
        </row>
        <row r="243">
          <cell r="D243">
            <v>30322000</v>
          </cell>
        </row>
        <row r="244">
          <cell r="D244">
            <v>752000</v>
          </cell>
        </row>
        <row r="245">
          <cell r="D245">
            <v>6011381</v>
          </cell>
        </row>
        <row r="246">
          <cell r="D246">
            <v>629927</v>
          </cell>
        </row>
        <row r="270">
          <cell r="D270">
            <v>939699</v>
          </cell>
        </row>
        <row r="271">
          <cell r="D271">
            <v>834887</v>
          </cell>
        </row>
        <row r="272">
          <cell r="D272">
            <v>877803</v>
          </cell>
        </row>
        <row r="273">
          <cell r="D273">
            <v>8711103</v>
          </cell>
        </row>
        <row r="274">
          <cell r="D274">
            <v>704767</v>
          </cell>
        </row>
        <row r="275">
          <cell r="D275">
            <v>410558</v>
          </cell>
        </row>
        <row r="276">
          <cell r="D276">
            <v>116936</v>
          </cell>
        </row>
        <row r="277">
          <cell r="D277">
            <v>457000</v>
          </cell>
        </row>
        <row r="278">
          <cell r="D278">
            <v>2082424</v>
          </cell>
        </row>
        <row r="279">
          <cell r="D279">
            <v>780000</v>
          </cell>
        </row>
        <row r="280">
          <cell r="D280">
            <v>1143900</v>
          </cell>
        </row>
        <row r="281">
          <cell r="D281">
            <v>738720</v>
          </cell>
        </row>
        <row r="282">
          <cell r="D282">
            <v>281930</v>
          </cell>
        </row>
        <row r="283">
          <cell r="D283">
            <v>825269</v>
          </cell>
        </row>
        <row r="284">
          <cell r="D284">
            <v>126450</v>
          </cell>
        </row>
        <row r="285">
          <cell r="D285">
            <v>113650</v>
          </cell>
        </row>
        <row r="286">
          <cell r="D286">
            <v>179275</v>
          </cell>
        </row>
        <row r="287">
          <cell r="D287">
            <v>126450</v>
          </cell>
        </row>
        <row r="288">
          <cell r="D288">
            <v>358190</v>
          </cell>
        </row>
        <row r="289">
          <cell r="D289">
            <v>1837360</v>
          </cell>
        </row>
        <row r="290">
          <cell r="D290">
            <v>716380</v>
          </cell>
        </row>
        <row r="291">
          <cell r="D291">
            <v>385603</v>
          </cell>
        </row>
        <row r="292">
          <cell r="D292">
            <v>32433</v>
          </cell>
        </row>
        <row r="293">
          <cell r="D293">
            <v>160000</v>
          </cell>
        </row>
        <row r="294">
          <cell r="D294">
            <v>1257750</v>
          </cell>
        </row>
        <row r="295">
          <cell r="D295">
            <v>1722000</v>
          </cell>
        </row>
        <row r="296">
          <cell r="D296">
            <v>156408</v>
          </cell>
        </row>
        <row r="297">
          <cell r="D297">
            <v>446848</v>
          </cell>
        </row>
        <row r="298">
          <cell r="D298">
            <v>4077450</v>
          </cell>
        </row>
        <row r="299">
          <cell r="D299">
            <v>248625</v>
          </cell>
        </row>
        <row r="300">
          <cell r="D300">
            <v>2012546</v>
          </cell>
        </row>
        <row r="301">
          <cell r="D301">
            <v>546975</v>
          </cell>
        </row>
        <row r="302">
          <cell r="D302">
            <v>2983500</v>
          </cell>
        </row>
        <row r="303">
          <cell r="D303">
            <v>1044225</v>
          </cell>
        </row>
        <row r="304">
          <cell r="D304">
            <v>3530475</v>
          </cell>
        </row>
        <row r="305">
          <cell r="D305">
            <v>4536995</v>
          </cell>
        </row>
        <row r="306">
          <cell r="D306">
            <v>3232125</v>
          </cell>
        </row>
        <row r="307">
          <cell r="D307">
            <v>3441017</v>
          </cell>
        </row>
        <row r="308">
          <cell r="D308">
            <v>743600</v>
          </cell>
        </row>
        <row r="309">
          <cell r="D309">
            <v>417365</v>
          </cell>
        </row>
        <row r="310">
          <cell r="D310">
            <v>1487245</v>
          </cell>
        </row>
        <row r="311">
          <cell r="D311">
            <v>3645301</v>
          </cell>
        </row>
        <row r="312">
          <cell r="D312">
            <v>12086598.333333336</v>
          </cell>
        </row>
        <row r="313">
          <cell r="D313">
            <v>1955865</v>
          </cell>
        </row>
        <row r="314">
          <cell r="D314">
            <v>3447100</v>
          </cell>
        </row>
        <row r="315">
          <cell r="D315">
            <v>11709505</v>
          </cell>
        </row>
        <row r="316">
          <cell r="D316">
            <v>4697656</v>
          </cell>
        </row>
        <row r="317">
          <cell r="D317">
            <v>1140532</v>
          </cell>
        </row>
        <row r="318">
          <cell r="D318">
            <v>20109552</v>
          </cell>
        </row>
        <row r="319">
          <cell r="D319">
            <v>361307</v>
          </cell>
        </row>
        <row r="320">
          <cell r="D320">
            <v>105000</v>
          </cell>
        </row>
        <row r="321">
          <cell r="D321">
            <v>100860</v>
          </cell>
        </row>
        <row r="322">
          <cell r="D322">
            <v>1075168</v>
          </cell>
        </row>
        <row r="341">
          <cell r="D341">
            <v>366600</v>
          </cell>
        </row>
        <row r="342">
          <cell r="D342">
            <v>5447000</v>
          </cell>
        </row>
        <row r="343">
          <cell r="D343">
            <v>3382603</v>
          </cell>
        </row>
        <row r="344">
          <cell r="D344">
            <v>542308</v>
          </cell>
        </row>
        <row r="345">
          <cell r="D345">
            <v>1056152</v>
          </cell>
        </row>
        <row r="346">
          <cell r="D346">
            <v>2082424</v>
          </cell>
        </row>
        <row r="347">
          <cell r="D347">
            <v>40667</v>
          </cell>
        </row>
      </sheetData>
      <sheetData sheetId="9" refreshError="1">
        <row r="4">
          <cell r="M4">
            <v>334193</v>
          </cell>
        </row>
        <row r="8">
          <cell r="M8">
            <v>7120090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XP 2017"/>
      <sheetName val="CXP PROVE "/>
      <sheetName val="CXP HONORA"/>
      <sheetName val="Relación de Pagos"/>
      <sheetName val="Banco"/>
      <sheetName val="propuesta pago equipos"/>
      <sheetName val="Creditos banco"/>
      <sheetName val="relacion de Recaudo"/>
      <sheetName val="informe Banco diario"/>
      <sheetName val="Relación Egresos"/>
      <sheetName val="flujo de caja diario"/>
      <sheetName val="Caja men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>
            <v>130417633</v>
          </cell>
        </row>
        <row r="106">
          <cell r="B106">
            <v>109764834</v>
          </cell>
        </row>
      </sheetData>
      <sheetData sheetId="5" refreshError="1"/>
      <sheetData sheetId="6" refreshError="1"/>
      <sheetData sheetId="7">
        <row r="33">
          <cell r="C33">
            <v>99454990</v>
          </cell>
        </row>
      </sheetData>
      <sheetData sheetId="8">
        <row r="82">
          <cell r="F82">
            <v>109338012.13048124</v>
          </cell>
        </row>
      </sheetData>
      <sheetData sheetId="9">
        <row r="4">
          <cell r="E4">
            <v>306953</v>
          </cell>
        </row>
      </sheetData>
      <sheetData sheetId="10">
        <row r="6">
          <cell r="M6">
            <v>669601</v>
          </cell>
        </row>
      </sheetData>
      <sheetData sheetId="11">
        <row r="51">
          <cell r="E51">
            <v>350000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D22"/>
  <sheetViews>
    <sheetView tabSelected="1" topLeftCell="A13" zoomScale="130" zoomScaleNormal="130" workbookViewId="0">
      <selection activeCell="B22" sqref="B22"/>
    </sheetView>
  </sheetViews>
  <sheetFormatPr baseColWidth="10" defaultRowHeight="14.4" x14ac:dyDescent="0.3"/>
  <cols>
    <col min="1" max="1" width="54.109375" style="237" customWidth="1"/>
    <col min="2" max="2" width="14.44140625" style="133" customWidth="1"/>
    <col min="3" max="3" width="16.109375" style="133" customWidth="1"/>
    <col min="4" max="4" width="6.5546875" style="237" customWidth="1"/>
  </cols>
  <sheetData>
    <row r="1" spans="1:4" ht="42.75" customHeight="1" x14ac:dyDescent="0.3">
      <c r="A1" s="251" t="s">
        <v>158</v>
      </c>
      <c r="B1" s="252"/>
      <c r="C1" s="252"/>
      <c r="D1" s="252"/>
    </row>
    <row r="2" spans="1:4" x14ac:dyDescent="0.3">
      <c r="A2" s="253" t="s">
        <v>1</v>
      </c>
      <c r="B2" s="254"/>
      <c r="C2" s="254"/>
      <c r="D2" s="254"/>
    </row>
    <row r="3" spans="1:4" x14ac:dyDescent="0.3">
      <c r="A3" s="253" t="s">
        <v>163</v>
      </c>
      <c r="B3" s="254"/>
      <c r="C3" s="254"/>
      <c r="D3" s="254"/>
    </row>
    <row r="4" spans="1:4" x14ac:dyDescent="0.3">
      <c r="A4" s="253">
        <v>2023</v>
      </c>
      <c r="B4" s="254"/>
      <c r="C4" s="254"/>
      <c r="D4" s="254"/>
    </row>
    <row r="6" spans="1:4" s="239" customFormat="1" ht="17.25" customHeight="1" x14ac:dyDescent="0.3">
      <c r="A6" s="258" t="s">
        <v>16</v>
      </c>
      <c r="B6" s="255" t="s">
        <v>167</v>
      </c>
      <c r="C6" s="256"/>
      <c r="D6" s="257"/>
    </row>
    <row r="7" spans="1:4" s="241" customFormat="1" ht="18.75" customHeight="1" x14ac:dyDescent="0.3">
      <c r="A7" s="258"/>
      <c r="B7" s="240" t="s">
        <v>164</v>
      </c>
      <c r="C7" s="240" t="s">
        <v>22</v>
      </c>
      <c r="D7" s="240" t="s">
        <v>23</v>
      </c>
    </row>
    <row r="8" spans="1:4" s="145" customFormat="1" ht="21.75" customHeight="1" x14ac:dyDescent="0.2">
      <c r="A8" s="243" t="s">
        <v>159</v>
      </c>
      <c r="B8" s="244">
        <v>0</v>
      </c>
      <c r="C8" s="238">
        <v>0</v>
      </c>
      <c r="D8" s="245">
        <v>0</v>
      </c>
    </row>
    <row r="9" spans="1:4" s="246" customFormat="1" ht="27" customHeight="1" x14ac:dyDescent="0.2">
      <c r="A9" s="243" t="s">
        <v>162</v>
      </c>
      <c r="B9" s="244">
        <v>50000</v>
      </c>
      <c r="C9" s="238">
        <f>B9</f>
        <v>50000</v>
      </c>
      <c r="D9" s="245">
        <f t="shared" ref="D9:D19" si="0">C9/B9</f>
        <v>1</v>
      </c>
    </row>
    <row r="10" spans="1:4" s="145" customFormat="1" ht="21.75" customHeight="1" x14ac:dyDescent="0.2">
      <c r="A10" s="243" t="s">
        <v>173</v>
      </c>
      <c r="B10" s="247">
        <v>160000</v>
      </c>
      <c r="C10" s="238">
        <f>B10</f>
        <v>160000</v>
      </c>
      <c r="D10" s="245">
        <f t="shared" si="0"/>
        <v>1</v>
      </c>
    </row>
    <row r="11" spans="1:4" s="145" customFormat="1" ht="21.75" customHeight="1" x14ac:dyDescent="0.2">
      <c r="A11" s="243" t="s">
        <v>168</v>
      </c>
      <c r="B11" s="247">
        <v>100000</v>
      </c>
      <c r="C11" s="238">
        <f>B11</f>
        <v>100000</v>
      </c>
      <c r="D11" s="245">
        <f t="shared" si="0"/>
        <v>1</v>
      </c>
    </row>
    <row r="12" spans="1:4" s="145" customFormat="1" ht="21.75" customHeight="1" x14ac:dyDescent="0.2">
      <c r="A12" s="301" t="s">
        <v>169</v>
      </c>
      <c r="B12" s="247">
        <v>0</v>
      </c>
      <c r="C12" s="238">
        <v>0</v>
      </c>
      <c r="D12" s="245">
        <v>0</v>
      </c>
    </row>
    <row r="13" spans="1:4" s="248" customFormat="1" ht="21.75" customHeight="1" x14ac:dyDescent="0.25">
      <c r="A13" s="243" t="s">
        <v>160</v>
      </c>
      <c r="B13" s="247">
        <v>100000</v>
      </c>
      <c r="C13" s="238">
        <f t="shared" ref="C13:C19" si="1">B13</f>
        <v>100000</v>
      </c>
      <c r="D13" s="245">
        <f t="shared" si="0"/>
        <v>1</v>
      </c>
    </row>
    <row r="14" spans="1:4" s="248" customFormat="1" ht="21.75" customHeight="1" x14ac:dyDescent="0.25">
      <c r="A14" s="243" t="s">
        <v>165</v>
      </c>
      <c r="B14" s="247">
        <v>100000</v>
      </c>
      <c r="C14" s="238">
        <f>B14</f>
        <v>100000</v>
      </c>
      <c r="D14" s="245">
        <f t="shared" si="0"/>
        <v>1</v>
      </c>
    </row>
    <row r="15" spans="1:4" s="248" customFormat="1" ht="21.75" customHeight="1" x14ac:dyDescent="0.25">
      <c r="A15" s="243" t="s">
        <v>161</v>
      </c>
      <c r="B15" s="247">
        <v>50000</v>
      </c>
      <c r="C15" s="238">
        <v>50000</v>
      </c>
      <c r="D15" s="245">
        <f t="shared" si="0"/>
        <v>1</v>
      </c>
    </row>
    <row r="16" spans="1:4" s="248" customFormat="1" ht="21.75" customHeight="1" x14ac:dyDescent="0.25">
      <c r="A16" s="243" t="s">
        <v>170</v>
      </c>
      <c r="B16" s="247">
        <v>0</v>
      </c>
      <c r="C16" s="238">
        <v>0</v>
      </c>
      <c r="D16" s="245">
        <v>0</v>
      </c>
    </row>
    <row r="17" spans="1:4" s="248" customFormat="1" ht="21.75" customHeight="1" x14ac:dyDescent="0.25">
      <c r="A17" s="243" t="s">
        <v>171</v>
      </c>
      <c r="B17" s="247">
        <v>100000</v>
      </c>
      <c r="C17" s="238">
        <f t="shared" si="1"/>
        <v>100000</v>
      </c>
      <c r="D17" s="245">
        <f t="shared" si="0"/>
        <v>1</v>
      </c>
    </row>
    <row r="18" spans="1:4" s="248" customFormat="1" ht="21.75" customHeight="1" x14ac:dyDescent="0.25">
      <c r="A18" s="301" t="s">
        <v>172</v>
      </c>
      <c r="B18" s="247">
        <v>50000</v>
      </c>
      <c r="C18" s="238">
        <f t="shared" si="1"/>
        <v>50000</v>
      </c>
      <c r="D18" s="245">
        <f t="shared" si="0"/>
        <v>1</v>
      </c>
    </row>
    <row r="19" spans="1:4" s="248" customFormat="1" ht="21.75" customHeight="1" x14ac:dyDescent="0.25">
      <c r="A19" s="243" t="s">
        <v>166</v>
      </c>
      <c r="B19" s="247">
        <v>200000</v>
      </c>
      <c r="C19" s="238">
        <f t="shared" si="1"/>
        <v>200000</v>
      </c>
      <c r="D19" s="245">
        <f t="shared" si="0"/>
        <v>1</v>
      </c>
    </row>
    <row r="20" spans="1:4" s="248" customFormat="1" ht="12" x14ac:dyDescent="0.25">
      <c r="A20" s="249" t="s">
        <v>13</v>
      </c>
      <c r="B20" s="242">
        <f>SUM(B8:B19)</f>
        <v>910000</v>
      </c>
      <c r="C20" s="242">
        <f>SUM(C8:C19)</f>
        <v>910000</v>
      </c>
      <c r="D20" s="250">
        <f>C20/B20</f>
        <v>1</v>
      </c>
    </row>
    <row r="21" spans="1:4" s="248" customFormat="1" ht="12" x14ac:dyDescent="0.25">
      <c r="A21" s="145"/>
      <c r="B21" s="145"/>
      <c r="C21" s="145"/>
      <c r="D21" s="145"/>
    </row>
    <row r="22" spans="1:4" x14ac:dyDescent="0.3">
      <c r="B22" s="302"/>
    </row>
  </sheetData>
  <mergeCells count="6">
    <mergeCell ref="A1:D1"/>
    <mergeCell ref="A2:D2"/>
    <mergeCell ref="A3:D3"/>
    <mergeCell ref="A4:D4"/>
    <mergeCell ref="B6:D6"/>
    <mergeCell ref="A6:A7"/>
  </mergeCells>
  <printOptions horizontalCentered="1"/>
  <pageMargins left="0.54500000000000004" right="0" top="0" bottom="0.19685039370078741" header="0" footer="0"/>
  <pageSetup scale="62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V80"/>
  <sheetViews>
    <sheetView zoomScale="170" zoomScaleNormal="170" workbookViewId="0">
      <pane xSplit="1" ySplit="5" topLeftCell="AD69" activePane="bottomRight" state="frozen"/>
      <selection pane="topRight" activeCell="B1" sqref="B1"/>
      <selection pane="bottomLeft" activeCell="A8" sqref="A8"/>
      <selection pane="bottomRight" activeCell="J8" sqref="J8"/>
    </sheetView>
  </sheetViews>
  <sheetFormatPr baseColWidth="10" defaultRowHeight="14.4" x14ac:dyDescent="0.3"/>
  <cols>
    <col min="1" max="1" width="39.33203125" customWidth="1"/>
    <col min="2" max="2" width="11.5546875" customWidth="1"/>
    <col min="3" max="3" width="9.6640625" hidden="1" customWidth="1"/>
    <col min="4" max="4" width="10.5546875" hidden="1" customWidth="1"/>
    <col min="5" max="5" width="9.33203125" hidden="1" customWidth="1"/>
    <col min="6" max="6" width="10.33203125" hidden="1" customWidth="1"/>
    <col min="7" max="7" width="9.88671875" hidden="1" customWidth="1"/>
    <col min="8" max="8" width="8.109375" hidden="1" customWidth="1"/>
    <col min="9" max="9" width="9.109375" style="131" customWidth="1"/>
    <col min="10" max="10" width="10.33203125" style="131" customWidth="1"/>
    <col min="11" max="11" width="7.88671875" style="131" customWidth="1"/>
    <col min="12" max="12" width="9.88671875" style="131" customWidth="1"/>
    <col min="13" max="13" width="10.6640625" style="131" hidden="1" customWidth="1"/>
    <col min="14" max="14" width="6.6640625" style="131" hidden="1" customWidth="1"/>
    <col min="15" max="15" width="9" style="131" customWidth="1"/>
    <col min="16" max="16" width="9.109375" style="131" hidden="1" customWidth="1"/>
    <col min="17" max="17" width="6.44140625" style="131" hidden="1" customWidth="1"/>
    <col min="18" max="18" width="8.88671875" style="131" customWidth="1"/>
    <col min="19" max="19" width="9.33203125" style="131" hidden="1" customWidth="1"/>
    <col min="20" max="20" width="10.88671875" style="131" hidden="1" customWidth="1"/>
    <col min="21" max="21" width="9.5546875" style="131" customWidth="1"/>
    <col min="22" max="23" width="9.5546875" style="131" hidden="1" customWidth="1"/>
    <col min="24" max="24" width="11.33203125" style="131" customWidth="1"/>
    <col min="25" max="26" width="11.33203125" style="131" hidden="1" customWidth="1"/>
    <col min="27" max="27" width="10.109375" style="131" customWidth="1"/>
    <col min="28" max="28" width="10.109375" style="131" hidden="1" customWidth="1"/>
    <col min="29" max="29" width="10.109375" style="136" hidden="1" customWidth="1"/>
    <col min="30" max="30" width="9.33203125" style="131" customWidth="1"/>
    <col min="31" max="31" width="9.33203125" style="131" hidden="1" customWidth="1"/>
    <col min="32" max="32" width="9.33203125" style="136" hidden="1" customWidth="1"/>
    <col min="33" max="33" width="9.33203125" style="131" customWidth="1"/>
    <col min="34" max="34" width="8.33203125" style="131" hidden="1" customWidth="1"/>
    <col min="35" max="35" width="9.5546875" style="131" hidden="1" customWidth="1"/>
    <col min="36" max="36" width="8.6640625" style="131" customWidth="1"/>
    <col min="37" max="38" width="8.6640625" style="131" hidden="1" customWidth="1"/>
    <col min="39" max="39" width="12.88671875" style="133" customWidth="1"/>
    <col min="40" max="40" width="10.88671875" style="133" hidden="1" customWidth="1"/>
    <col min="41" max="41" width="9.44140625" style="133" hidden="1" customWidth="1"/>
    <col min="42" max="42" width="7" style="137" customWidth="1"/>
    <col min="43" max="43" width="11.44140625" hidden="1" customWidth="1"/>
    <col min="44" max="44" width="11.109375" hidden="1" customWidth="1"/>
    <col min="45" max="46" width="0" hidden="1" customWidth="1"/>
    <col min="47" max="47" width="0" style="135" hidden="1" customWidth="1"/>
    <col min="48" max="48" width="0" hidden="1" customWidth="1"/>
  </cols>
  <sheetData>
    <row r="1" spans="1:47" ht="20.399999999999999" x14ac:dyDescent="0.3">
      <c r="A1" s="259"/>
      <c r="B1" s="140"/>
      <c r="C1" s="260" t="s">
        <v>0</v>
      </c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0"/>
      <c r="AO1" s="130"/>
      <c r="AP1"/>
    </row>
    <row r="2" spans="1:47" ht="17.399999999999999" x14ac:dyDescent="0.3">
      <c r="A2" s="259"/>
      <c r="B2" s="140"/>
      <c r="C2" s="261" t="s">
        <v>1</v>
      </c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139"/>
      <c r="R2" s="231"/>
      <c r="S2" s="139"/>
      <c r="T2" s="139"/>
      <c r="U2" s="230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4"/>
      <c r="AO2" s="134"/>
      <c r="AP2"/>
    </row>
    <row r="3" spans="1:47" ht="17.399999999999999" x14ac:dyDescent="0.3">
      <c r="A3" s="259"/>
      <c r="B3" s="140"/>
      <c r="C3" s="261" t="s">
        <v>132</v>
      </c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4"/>
      <c r="AO3" s="134"/>
      <c r="AP3"/>
      <c r="AS3">
        <f>3048-2960</f>
        <v>88</v>
      </c>
    </row>
    <row r="4" spans="1:47" ht="15" thickBot="1" x14ac:dyDescent="0.35">
      <c r="AC4" s="132"/>
      <c r="AF4" s="132"/>
      <c r="AP4"/>
    </row>
    <row r="5" spans="1:47" s="215" customFormat="1" ht="16.5" customHeight="1" thickBot="1" x14ac:dyDescent="0.35">
      <c r="A5" s="262" t="s">
        <v>16</v>
      </c>
      <c r="B5" s="264" t="s">
        <v>133</v>
      </c>
      <c r="C5" s="266" t="s">
        <v>4</v>
      </c>
      <c r="D5" s="266"/>
      <c r="E5" s="266"/>
      <c r="F5" s="266" t="s">
        <v>5</v>
      </c>
      <c r="G5" s="266"/>
      <c r="H5" s="266"/>
      <c r="I5" s="267" t="s">
        <v>6</v>
      </c>
      <c r="J5" s="267"/>
      <c r="K5" s="267"/>
      <c r="L5" s="268" t="s">
        <v>7</v>
      </c>
      <c r="M5" s="269"/>
      <c r="N5" s="270"/>
      <c r="O5" s="280" t="s">
        <v>8</v>
      </c>
      <c r="P5" s="281"/>
      <c r="Q5" s="282"/>
      <c r="R5" s="268" t="s">
        <v>9</v>
      </c>
      <c r="S5" s="269"/>
      <c r="T5" s="270"/>
      <c r="U5" s="268" t="s">
        <v>10</v>
      </c>
      <c r="V5" s="269"/>
      <c r="W5" s="270"/>
      <c r="X5" s="268" t="s">
        <v>11</v>
      </c>
      <c r="Y5" s="269"/>
      <c r="Z5" s="270"/>
      <c r="AA5" s="268" t="s">
        <v>12</v>
      </c>
      <c r="AB5" s="269"/>
      <c r="AC5" s="270"/>
      <c r="AD5" s="283" t="s">
        <v>17</v>
      </c>
      <c r="AE5" s="284"/>
      <c r="AF5" s="285"/>
      <c r="AG5" s="268" t="s">
        <v>18</v>
      </c>
      <c r="AH5" s="269"/>
      <c r="AI5" s="270"/>
      <c r="AJ5" s="268" t="s">
        <v>19</v>
      </c>
      <c r="AK5" s="269"/>
      <c r="AL5" s="270"/>
      <c r="AM5" s="271" t="s">
        <v>134</v>
      </c>
      <c r="AN5" s="272"/>
      <c r="AO5" s="273"/>
      <c r="AQ5" s="271" t="s">
        <v>131</v>
      </c>
      <c r="AR5" s="272"/>
      <c r="AS5" s="273"/>
      <c r="AU5" s="220"/>
    </row>
    <row r="6" spans="1:47" s="219" customFormat="1" ht="18.75" customHeight="1" thickBot="1" x14ac:dyDescent="0.35">
      <c r="A6" s="263"/>
      <c r="B6" s="265"/>
      <c r="C6" s="216" t="s">
        <v>97</v>
      </c>
      <c r="D6" s="216" t="s">
        <v>22</v>
      </c>
      <c r="E6" s="216" t="s">
        <v>23</v>
      </c>
      <c r="F6" s="216" t="s">
        <v>97</v>
      </c>
      <c r="G6" s="216" t="s">
        <v>22</v>
      </c>
      <c r="H6" s="216" t="s">
        <v>23</v>
      </c>
      <c r="I6" s="217" t="s">
        <v>97</v>
      </c>
      <c r="J6" s="227" t="s">
        <v>22</v>
      </c>
      <c r="K6" s="217" t="s">
        <v>23</v>
      </c>
      <c r="L6" s="217" t="s">
        <v>97</v>
      </c>
      <c r="M6" s="217" t="s">
        <v>22</v>
      </c>
      <c r="N6" s="217" t="s">
        <v>23</v>
      </c>
      <c r="O6" s="226" t="s">
        <v>97</v>
      </c>
      <c r="P6" s="217" t="s">
        <v>22</v>
      </c>
      <c r="Q6" s="227" t="s">
        <v>23</v>
      </c>
      <c r="R6" s="217" t="s">
        <v>97</v>
      </c>
      <c r="S6" s="217" t="s">
        <v>22</v>
      </c>
      <c r="T6" s="217" t="s">
        <v>23</v>
      </c>
      <c r="U6" s="217" t="s">
        <v>97</v>
      </c>
      <c r="V6" s="217" t="s">
        <v>22</v>
      </c>
      <c r="W6" s="217" t="s">
        <v>23</v>
      </c>
      <c r="X6" s="217" t="s">
        <v>97</v>
      </c>
      <c r="Y6" s="217" t="s">
        <v>22</v>
      </c>
      <c r="Z6" s="217" t="s">
        <v>23</v>
      </c>
      <c r="AA6" s="217" t="s">
        <v>97</v>
      </c>
      <c r="AB6" s="217" t="s">
        <v>22</v>
      </c>
      <c r="AC6" s="218" t="s">
        <v>23</v>
      </c>
      <c r="AD6" s="217" t="s">
        <v>97</v>
      </c>
      <c r="AE6" s="217" t="s">
        <v>22</v>
      </c>
      <c r="AF6" s="218" t="s">
        <v>23</v>
      </c>
      <c r="AG6" s="217" t="s">
        <v>97</v>
      </c>
      <c r="AH6" s="217" t="s">
        <v>22</v>
      </c>
      <c r="AI6" s="217" t="s">
        <v>23</v>
      </c>
      <c r="AJ6" s="217" t="s">
        <v>97</v>
      </c>
      <c r="AK6" s="217" t="s">
        <v>22</v>
      </c>
      <c r="AL6" s="217" t="s">
        <v>23</v>
      </c>
      <c r="AM6" s="217" t="s">
        <v>97</v>
      </c>
      <c r="AN6" s="217" t="s">
        <v>22</v>
      </c>
      <c r="AO6" s="217" t="s">
        <v>23</v>
      </c>
      <c r="AQ6" s="217" t="s">
        <v>97</v>
      </c>
      <c r="AR6" s="217" t="s">
        <v>22</v>
      </c>
      <c r="AS6" s="217" t="s">
        <v>23</v>
      </c>
      <c r="AU6" s="221"/>
    </row>
    <row r="7" spans="1:47" s="141" customFormat="1" ht="12" x14ac:dyDescent="0.25">
      <c r="A7" s="197" t="s">
        <v>136</v>
      </c>
      <c r="B7" s="142"/>
      <c r="C7" s="142"/>
      <c r="D7" s="143"/>
      <c r="E7" s="144"/>
      <c r="F7" s="142"/>
      <c r="G7" s="145"/>
      <c r="H7" s="146"/>
      <c r="I7" s="147"/>
      <c r="J7" s="148"/>
      <c r="K7" s="146"/>
      <c r="L7" s="149"/>
      <c r="M7" s="146"/>
      <c r="N7" s="146"/>
      <c r="O7" s="145"/>
      <c r="P7" s="150"/>
      <c r="Q7" s="151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2"/>
      <c r="AD7" s="150"/>
      <c r="AE7" s="150"/>
      <c r="AF7" s="152"/>
      <c r="AG7" s="150"/>
      <c r="AH7" s="153"/>
      <c r="AI7" s="153"/>
      <c r="AJ7" s="153"/>
      <c r="AK7" s="153"/>
      <c r="AL7" s="153"/>
      <c r="AM7" s="153"/>
      <c r="AN7" s="153"/>
      <c r="AO7" s="146"/>
      <c r="AQ7" s="153"/>
      <c r="AR7" s="153"/>
      <c r="AS7" s="150"/>
      <c r="AT7" s="141" t="s">
        <v>148</v>
      </c>
      <c r="AU7" s="156" t="s">
        <v>149</v>
      </c>
    </row>
    <row r="8" spans="1:47" s="141" customFormat="1" ht="11.4" x14ac:dyDescent="0.2">
      <c r="A8" s="198" t="s">
        <v>138</v>
      </c>
      <c r="B8" s="154">
        <v>292711.40000000002</v>
      </c>
      <c r="C8" s="154">
        <v>308000</v>
      </c>
      <c r="D8" s="154">
        <f>366855-5353</f>
        <v>361502</v>
      </c>
      <c r="E8" s="155">
        <f>D8/C8</f>
        <v>1.1737077922077923</v>
      </c>
      <c r="F8" s="154">
        <f>$C$8</f>
        <v>308000</v>
      </c>
      <c r="G8" s="154">
        <f>367510-3708</f>
        <v>363802</v>
      </c>
      <c r="H8" s="155">
        <f>G8/F8</f>
        <v>1.1811753246753247</v>
      </c>
      <c r="I8" s="154">
        <f>$C$8</f>
        <v>308000</v>
      </c>
      <c r="J8" s="154">
        <f>224678-1620</f>
        <v>223058</v>
      </c>
      <c r="K8" s="155">
        <f>J8/I8</f>
        <v>0.7242142857142857</v>
      </c>
      <c r="L8" s="181">
        <f>33000+40000</f>
        <v>73000</v>
      </c>
      <c r="M8" s="181"/>
      <c r="N8" s="174">
        <f>M8/L8</f>
        <v>0</v>
      </c>
      <c r="O8" s="181">
        <f>L8</f>
        <v>73000</v>
      </c>
      <c r="P8" s="181"/>
      <c r="Q8" s="174">
        <f>P8/O8</f>
        <v>0</v>
      </c>
      <c r="R8" s="154">
        <f>$C$8</f>
        <v>308000</v>
      </c>
      <c r="S8" s="181"/>
      <c r="T8" s="174">
        <f>S8/R8</f>
        <v>0</v>
      </c>
      <c r="U8" s="154">
        <f>$C$8</f>
        <v>308000</v>
      </c>
      <c r="V8" s="154"/>
      <c r="W8" s="155">
        <f>V8/U8</f>
        <v>0</v>
      </c>
      <c r="X8" s="154">
        <f>$C$8</f>
        <v>308000</v>
      </c>
      <c r="Y8" s="154"/>
      <c r="Z8" s="155">
        <f>Y8/X8</f>
        <v>0</v>
      </c>
      <c r="AA8" s="154">
        <f>$C$8</f>
        <v>308000</v>
      </c>
      <c r="AB8" s="154"/>
      <c r="AC8" s="155">
        <f>AB8/AA8</f>
        <v>0</v>
      </c>
      <c r="AD8" s="154">
        <v>350000</v>
      </c>
      <c r="AE8" s="154"/>
      <c r="AF8" s="155">
        <f>AE8/AD8</f>
        <v>0</v>
      </c>
      <c r="AG8" s="154">
        <v>350000</v>
      </c>
      <c r="AH8" s="154"/>
      <c r="AI8" s="155">
        <f>AH8/AG8</f>
        <v>0</v>
      </c>
      <c r="AJ8" s="154">
        <v>350000</v>
      </c>
      <c r="AK8" s="154"/>
      <c r="AL8" s="155">
        <f>AK8/AJ8</f>
        <v>0</v>
      </c>
      <c r="AM8" s="154">
        <f t="shared" ref="AM8:AN10" si="0">C8+F8+I8+L8+O8+R8+U8+X8+AA8+AD8+AG8+AJ8</f>
        <v>3352000</v>
      </c>
      <c r="AN8" s="154">
        <f t="shared" si="0"/>
        <v>948362</v>
      </c>
      <c r="AO8" s="155">
        <f>AN8/AM8</f>
        <v>0.28292422434367542</v>
      </c>
      <c r="AQ8" s="154">
        <v>2952000</v>
      </c>
      <c r="AR8" s="154">
        <v>2927114</v>
      </c>
      <c r="AS8" s="155">
        <v>0.99156978319783196</v>
      </c>
      <c r="AT8" s="156">
        <f>AR8/10</f>
        <v>292711.40000000002</v>
      </c>
      <c r="AU8" s="156">
        <f>AQ8/12</f>
        <v>246000</v>
      </c>
    </row>
    <row r="9" spans="1:47" s="141" customFormat="1" ht="11.4" x14ac:dyDescent="0.2">
      <c r="A9" s="198" t="s">
        <v>139</v>
      </c>
      <c r="B9" s="154">
        <v>3362.5</v>
      </c>
      <c r="C9" s="154">
        <f>B9*1.05</f>
        <v>3530.625</v>
      </c>
      <c r="D9" s="154">
        <v>5353</v>
      </c>
      <c r="E9" s="155">
        <f>D9/C9</f>
        <v>1.5161621525933793</v>
      </c>
      <c r="F9" s="154">
        <f>$C$9</f>
        <v>3530.625</v>
      </c>
      <c r="G9" s="154">
        <v>3708</v>
      </c>
      <c r="H9" s="155">
        <f>G9/F9</f>
        <v>1.0502389803505046</v>
      </c>
      <c r="I9" s="154">
        <f>$C$9</f>
        <v>3530.625</v>
      </c>
      <c r="J9" s="154">
        <v>1620</v>
      </c>
      <c r="K9" s="155">
        <f>J9/I9</f>
        <v>0.45884227296866703</v>
      </c>
      <c r="L9" s="181">
        <v>1000</v>
      </c>
      <c r="M9" s="181"/>
      <c r="N9" s="174">
        <f>M9/L9</f>
        <v>0</v>
      </c>
      <c r="O9" s="181">
        <v>1000</v>
      </c>
      <c r="P9" s="181"/>
      <c r="Q9" s="174">
        <f>P9/O9</f>
        <v>0</v>
      </c>
      <c r="R9" s="154">
        <f>$C$9</f>
        <v>3530.625</v>
      </c>
      <c r="S9" s="181"/>
      <c r="T9" s="174">
        <f>S9/R9</f>
        <v>0</v>
      </c>
      <c r="U9" s="154">
        <f>$C$9</f>
        <v>3530.625</v>
      </c>
      <c r="V9" s="154"/>
      <c r="W9" s="155">
        <f>V9/U9</f>
        <v>0</v>
      </c>
      <c r="X9" s="154">
        <f>$C$9</f>
        <v>3530.625</v>
      </c>
      <c r="Y9" s="154"/>
      <c r="Z9" s="155">
        <f>Y9/X9</f>
        <v>0</v>
      </c>
      <c r="AA9" s="154">
        <f>$C$9</f>
        <v>3530.625</v>
      </c>
      <c r="AB9" s="154"/>
      <c r="AC9" s="155">
        <f>AB9/AA9</f>
        <v>0</v>
      </c>
      <c r="AD9" s="154">
        <f>$C$9</f>
        <v>3530.625</v>
      </c>
      <c r="AE9" s="154"/>
      <c r="AF9" s="155">
        <f>AE9/AD9</f>
        <v>0</v>
      </c>
      <c r="AG9" s="154">
        <f>$C$9</f>
        <v>3530.625</v>
      </c>
      <c r="AH9" s="154"/>
      <c r="AI9" s="155">
        <f>AH9/AG9</f>
        <v>0</v>
      </c>
      <c r="AJ9" s="154">
        <f>$C$9</f>
        <v>3530.625</v>
      </c>
      <c r="AK9" s="154"/>
      <c r="AL9" s="155">
        <f>AK9/AJ9</f>
        <v>0</v>
      </c>
      <c r="AM9" s="154">
        <f t="shared" si="0"/>
        <v>37306.25</v>
      </c>
      <c r="AN9" s="154">
        <f t="shared" si="0"/>
        <v>10681</v>
      </c>
      <c r="AO9" s="155">
        <f>AN9/AM9</f>
        <v>0.28630591388842352</v>
      </c>
      <c r="AQ9" s="154">
        <v>31200</v>
      </c>
      <c r="AR9" s="154">
        <v>33625</v>
      </c>
      <c r="AS9" s="155">
        <v>1.077724358974359</v>
      </c>
      <c r="AT9" s="156">
        <f t="shared" ref="AT9:AT69" si="1">AR9/10</f>
        <v>3362.5</v>
      </c>
      <c r="AU9" s="156">
        <f t="shared" ref="AU9:AU24" si="2">AQ9/12</f>
        <v>2600</v>
      </c>
    </row>
    <row r="10" spans="1:47" s="141" customFormat="1" ht="12" thickBot="1" x14ac:dyDescent="0.25">
      <c r="A10" s="198" t="s">
        <v>140</v>
      </c>
      <c r="B10" s="157">
        <v>-636</v>
      </c>
      <c r="C10" s="157">
        <f>B10*1.05</f>
        <v>-667.80000000000007</v>
      </c>
      <c r="D10" s="154">
        <v>0</v>
      </c>
      <c r="E10" s="157"/>
      <c r="F10" s="157">
        <f>$C$10</f>
        <v>-667.80000000000007</v>
      </c>
      <c r="G10" s="154">
        <v>0</v>
      </c>
      <c r="H10" s="155">
        <f>G10/F10</f>
        <v>0</v>
      </c>
      <c r="I10" s="157">
        <f>$C$10</f>
        <v>-667.80000000000007</v>
      </c>
      <c r="J10" s="154">
        <v>0</v>
      </c>
      <c r="K10" s="155">
        <f>J10/I10</f>
        <v>0</v>
      </c>
      <c r="L10" s="157">
        <f>$C$10</f>
        <v>-667.80000000000007</v>
      </c>
      <c r="M10" s="154"/>
      <c r="N10" s="155">
        <f>M10/L10</f>
        <v>0</v>
      </c>
      <c r="O10" s="157">
        <f>$C$10</f>
        <v>-667.80000000000007</v>
      </c>
      <c r="P10" s="154"/>
      <c r="Q10" s="155">
        <f>P10/O10</f>
        <v>0</v>
      </c>
      <c r="R10" s="157">
        <f>$C$10</f>
        <v>-667.80000000000007</v>
      </c>
      <c r="S10" s="154"/>
      <c r="T10" s="155">
        <f>S10/R10</f>
        <v>0</v>
      </c>
      <c r="U10" s="157">
        <f>$C$10</f>
        <v>-667.80000000000007</v>
      </c>
      <c r="V10" s="154"/>
      <c r="W10" s="155">
        <f>V10/U10</f>
        <v>0</v>
      </c>
      <c r="X10" s="157">
        <f>$C$10</f>
        <v>-667.80000000000007</v>
      </c>
      <c r="Y10" s="154"/>
      <c r="Z10" s="155">
        <f>Y10/X10</f>
        <v>0</v>
      </c>
      <c r="AA10" s="157">
        <f>$C$10</f>
        <v>-667.80000000000007</v>
      </c>
      <c r="AB10" s="154"/>
      <c r="AC10" s="155">
        <f>AB10/AA10</f>
        <v>0</v>
      </c>
      <c r="AD10" s="157">
        <f>$C$10</f>
        <v>-667.80000000000007</v>
      </c>
      <c r="AE10" s="154"/>
      <c r="AF10" s="155">
        <f>AE10/AD10</f>
        <v>0</v>
      </c>
      <c r="AG10" s="157">
        <f>$C$10</f>
        <v>-667.80000000000007</v>
      </c>
      <c r="AH10" s="154"/>
      <c r="AI10" s="155">
        <f>AH10/AG10</f>
        <v>0</v>
      </c>
      <c r="AJ10" s="157">
        <f>$C$10</f>
        <v>-667.80000000000007</v>
      </c>
      <c r="AK10" s="154"/>
      <c r="AL10" s="155">
        <f>AK10/AJ10</f>
        <v>0</v>
      </c>
      <c r="AM10" s="154">
        <f t="shared" si="0"/>
        <v>-8013.6000000000013</v>
      </c>
      <c r="AN10" s="154">
        <f t="shared" si="0"/>
        <v>0</v>
      </c>
      <c r="AO10" s="155">
        <f>AN10/AM10</f>
        <v>0</v>
      </c>
      <c r="AQ10" s="154"/>
      <c r="AR10" s="154"/>
      <c r="AS10" s="157"/>
      <c r="AT10" s="156">
        <f t="shared" si="1"/>
        <v>0</v>
      </c>
      <c r="AU10" s="156">
        <f t="shared" si="2"/>
        <v>0</v>
      </c>
    </row>
    <row r="11" spans="1:47" s="141" customFormat="1" ht="12.6" thickBot="1" x14ac:dyDescent="0.3">
      <c r="A11" s="164" t="s">
        <v>98</v>
      </c>
      <c r="B11" s="165">
        <f>SUM(B8:B10)</f>
        <v>295437.90000000002</v>
      </c>
      <c r="C11" s="165">
        <f>SUM(C8:C10)</f>
        <v>310862.82500000001</v>
      </c>
      <c r="D11" s="165">
        <f>SUM(D8:D10)</f>
        <v>366855</v>
      </c>
      <c r="E11" s="166">
        <f>D11/C11</f>
        <v>1.1801185941097974</v>
      </c>
      <c r="F11" s="165">
        <f>SUM(F8:F10)</f>
        <v>310862.82500000001</v>
      </c>
      <c r="G11" s="165">
        <f>SUM(G8:G10)</f>
        <v>367510</v>
      </c>
      <c r="H11" s="166">
        <f>G11/F11</f>
        <v>1.1822256328012202</v>
      </c>
      <c r="I11" s="165">
        <f>SUM(I8:I10)</f>
        <v>310862.82500000001</v>
      </c>
      <c r="J11" s="168">
        <f>SUM(J8:J10)</f>
        <v>224678</v>
      </c>
      <c r="K11" s="166">
        <f>J11/I11</f>
        <v>0.72275609024655807</v>
      </c>
      <c r="L11" s="165">
        <f>SUM(L8:L10)</f>
        <v>73332.2</v>
      </c>
      <c r="M11" s="165">
        <f>SUM(M8:M10)</f>
        <v>0</v>
      </c>
      <c r="N11" s="166">
        <f>M11/L11</f>
        <v>0</v>
      </c>
      <c r="O11" s="165">
        <f>SUM(O8:O10)</f>
        <v>73332.2</v>
      </c>
      <c r="P11" s="167">
        <f>SUM(P8:P10)</f>
        <v>0</v>
      </c>
      <c r="Q11" s="169">
        <f>P11/O11</f>
        <v>0</v>
      </c>
      <c r="R11" s="165">
        <f>SUM(R8:R10)</f>
        <v>310862.82500000001</v>
      </c>
      <c r="S11" s="167">
        <f>SUM(S8:S10)</f>
        <v>0</v>
      </c>
      <c r="T11" s="166">
        <f>S11/R11</f>
        <v>0</v>
      </c>
      <c r="U11" s="165">
        <f>SUM(U8:U10)</f>
        <v>310862.82500000001</v>
      </c>
      <c r="V11" s="167">
        <f>SUM(V8:V10)</f>
        <v>0</v>
      </c>
      <c r="W11" s="166">
        <f>V11/U11</f>
        <v>0</v>
      </c>
      <c r="X11" s="165">
        <f>SUM(X8:X10)</f>
        <v>310862.82500000001</v>
      </c>
      <c r="Y11" s="167">
        <f>SUM(Y8:Y10)</f>
        <v>0</v>
      </c>
      <c r="Z11" s="166">
        <f>Y11/X11</f>
        <v>0</v>
      </c>
      <c r="AA11" s="165">
        <f>SUM(AA8:AA10)</f>
        <v>310862.82500000001</v>
      </c>
      <c r="AB11" s="167">
        <f>SUM(AB8:AB10)</f>
        <v>0</v>
      </c>
      <c r="AC11" s="166">
        <f>AB11/AA11</f>
        <v>0</v>
      </c>
      <c r="AD11" s="165">
        <f>SUM(AD8:AD10)</f>
        <v>352862.82500000001</v>
      </c>
      <c r="AE11" s="167">
        <f>SUM(AE8:AE10)</f>
        <v>0</v>
      </c>
      <c r="AF11" s="166">
        <f>AE11/AD11</f>
        <v>0</v>
      </c>
      <c r="AG11" s="167">
        <f>SUM(AG8:AG10)</f>
        <v>352862.82500000001</v>
      </c>
      <c r="AH11" s="165"/>
      <c r="AI11" s="165">
        <f>AH11/AG11</f>
        <v>0</v>
      </c>
      <c r="AJ11" s="165">
        <f>SUM(AJ8:AJ10)</f>
        <v>352862.82500000001</v>
      </c>
      <c r="AK11" s="165"/>
      <c r="AL11" s="165">
        <f>AK11/AJ11</f>
        <v>0</v>
      </c>
      <c r="AM11" s="165">
        <f>C11+F11+I11+L11+O11+R11+U11+X11+AA11+AD11+AG11+AJ11</f>
        <v>3381292.6500000004</v>
      </c>
      <c r="AN11" s="165">
        <f>SUM(AN8:AN10)</f>
        <v>959043</v>
      </c>
      <c r="AO11" s="166">
        <f>AN11/AM11</f>
        <v>0.2836320600643662</v>
      </c>
      <c r="AQ11" s="165">
        <v>2983200</v>
      </c>
      <c r="AR11" s="165">
        <v>2960739</v>
      </c>
      <c r="AS11" s="166">
        <v>0.99247083668543845</v>
      </c>
      <c r="AT11" s="156">
        <f t="shared" si="1"/>
        <v>296073.90000000002</v>
      </c>
      <c r="AU11" s="156">
        <f t="shared" si="2"/>
        <v>248600</v>
      </c>
    </row>
    <row r="12" spans="1:47" s="141" customFormat="1" ht="15.75" customHeight="1" thickBot="1" x14ac:dyDescent="0.3">
      <c r="A12" s="195" t="s">
        <v>135</v>
      </c>
      <c r="B12" s="196"/>
      <c r="C12" s="274">
        <f>D11-C11</f>
        <v>55992.174999999988</v>
      </c>
      <c r="D12" s="275"/>
      <c r="E12" s="276"/>
      <c r="F12" s="277">
        <f>$C$12</f>
        <v>55992.174999999988</v>
      </c>
      <c r="G12" s="278"/>
      <c r="H12" s="279"/>
      <c r="I12" s="277">
        <f>$C$12</f>
        <v>55992.174999999988</v>
      </c>
      <c r="J12" s="278"/>
      <c r="K12" s="279"/>
      <c r="L12" s="277">
        <f>$C$12</f>
        <v>55992.174999999988</v>
      </c>
      <c r="M12" s="278"/>
      <c r="N12" s="279"/>
      <c r="O12" s="277">
        <f>$C$12</f>
        <v>55992.174999999988</v>
      </c>
      <c r="P12" s="278"/>
      <c r="Q12" s="279"/>
      <c r="R12" s="277">
        <f>$C$12</f>
        <v>55992.174999999988</v>
      </c>
      <c r="S12" s="278"/>
      <c r="T12" s="279"/>
      <c r="U12" s="277">
        <f>$C$12</f>
        <v>55992.174999999988</v>
      </c>
      <c r="V12" s="278"/>
      <c r="W12" s="279"/>
      <c r="X12" s="277">
        <f>$C$12</f>
        <v>55992.174999999988</v>
      </c>
      <c r="Y12" s="278"/>
      <c r="Z12" s="279"/>
      <c r="AA12" s="277">
        <f>$C$12</f>
        <v>55992.174999999988</v>
      </c>
      <c r="AB12" s="278"/>
      <c r="AC12" s="279"/>
      <c r="AD12" s="277">
        <f>$C$12</f>
        <v>55992.174999999988</v>
      </c>
      <c r="AE12" s="278"/>
      <c r="AF12" s="279"/>
      <c r="AG12" s="277">
        <f>$C$12</f>
        <v>55992.174999999988</v>
      </c>
      <c r="AH12" s="278"/>
      <c r="AI12" s="279"/>
      <c r="AJ12" s="277">
        <f>$C$12</f>
        <v>55992.174999999988</v>
      </c>
      <c r="AK12" s="278"/>
      <c r="AL12" s="279"/>
      <c r="AM12" s="286">
        <f>C12+F12+I12+L12+O12+R12+U12+X12+AA12+AD12+AG12+AJ12</f>
        <v>671906.09999999986</v>
      </c>
      <c r="AN12" s="287"/>
      <c r="AO12" s="288"/>
      <c r="AP12" s="180"/>
      <c r="AQ12" s="192"/>
      <c r="AR12" s="192"/>
      <c r="AS12" s="193"/>
      <c r="AT12" s="194"/>
      <c r="AU12" s="156">
        <f t="shared" si="2"/>
        <v>0</v>
      </c>
    </row>
    <row r="13" spans="1:47" s="179" customFormat="1" ht="12.6" thickBot="1" x14ac:dyDescent="0.3">
      <c r="A13" s="197" t="s">
        <v>137</v>
      </c>
      <c r="B13" s="167"/>
      <c r="C13" s="167"/>
      <c r="D13" s="165"/>
      <c r="E13" s="166"/>
      <c r="F13" s="167"/>
      <c r="G13" s="165"/>
      <c r="H13" s="166"/>
      <c r="I13" s="167"/>
      <c r="J13" s="177"/>
      <c r="K13" s="166"/>
      <c r="L13" s="167"/>
      <c r="M13" s="177"/>
      <c r="N13" s="166"/>
      <c r="O13" s="168"/>
      <c r="P13" s="167"/>
      <c r="Q13" s="178"/>
      <c r="R13" s="165"/>
      <c r="S13" s="167"/>
      <c r="T13" s="178"/>
      <c r="U13" s="167"/>
      <c r="V13" s="167"/>
      <c r="W13" s="166"/>
      <c r="X13" s="167"/>
      <c r="Y13" s="167"/>
      <c r="Z13" s="166"/>
      <c r="AA13" s="167"/>
      <c r="AB13" s="167"/>
      <c r="AC13" s="166"/>
      <c r="AD13" s="167"/>
      <c r="AE13" s="167"/>
      <c r="AF13" s="166"/>
      <c r="AG13" s="167"/>
      <c r="AH13" s="167"/>
      <c r="AI13" s="167"/>
      <c r="AJ13" s="167"/>
      <c r="AK13" s="165"/>
      <c r="AL13" s="165"/>
      <c r="AM13" s="167"/>
      <c r="AN13" s="167"/>
      <c r="AO13" s="166"/>
      <c r="AP13" s="141"/>
      <c r="AQ13" s="167"/>
      <c r="AR13" s="167"/>
      <c r="AS13" s="166"/>
      <c r="AT13" s="156"/>
      <c r="AU13" s="156">
        <f t="shared" si="2"/>
        <v>0</v>
      </c>
    </row>
    <row r="14" spans="1:47" s="141" customFormat="1" ht="12.6" thickBot="1" x14ac:dyDescent="0.3">
      <c r="A14" s="200" t="s">
        <v>141</v>
      </c>
      <c r="B14" s="154"/>
      <c r="C14" s="154"/>
      <c r="D14" s="154"/>
      <c r="E14" s="157"/>
      <c r="F14" s="176"/>
      <c r="G14" s="159"/>
      <c r="H14" s="157"/>
      <c r="I14" s="157"/>
      <c r="J14" s="158"/>
      <c r="K14" s="157"/>
      <c r="L14" s="157"/>
      <c r="M14" s="159"/>
      <c r="N14" s="157"/>
      <c r="O14" s="159"/>
      <c r="P14" s="157"/>
      <c r="Q14" s="159"/>
      <c r="R14" s="154"/>
      <c r="S14" s="157"/>
      <c r="T14" s="159"/>
      <c r="U14" s="154"/>
      <c r="V14" s="154"/>
      <c r="W14" s="154"/>
      <c r="X14" s="154"/>
      <c r="Y14" s="154"/>
      <c r="Z14" s="154"/>
      <c r="AA14" s="154"/>
      <c r="AB14" s="154"/>
      <c r="AC14" s="172"/>
      <c r="AD14" s="154"/>
      <c r="AE14" s="154"/>
      <c r="AF14" s="172"/>
      <c r="AG14" s="154"/>
      <c r="AH14" s="154"/>
      <c r="AI14" s="154"/>
      <c r="AJ14" s="154"/>
      <c r="AK14" s="154"/>
      <c r="AL14" s="154"/>
      <c r="AM14" s="154"/>
      <c r="AN14" s="154"/>
      <c r="AO14" s="157"/>
      <c r="AQ14" s="154"/>
      <c r="AR14" s="154"/>
      <c r="AS14" s="157"/>
      <c r="AT14" s="156">
        <f t="shared" si="1"/>
        <v>0</v>
      </c>
      <c r="AU14" s="156">
        <f t="shared" si="2"/>
        <v>0</v>
      </c>
    </row>
    <row r="15" spans="1:47" s="141" customFormat="1" ht="11.4" x14ac:dyDescent="0.2">
      <c r="A15" s="198" t="s">
        <v>106</v>
      </c>
      <c r="B15" s="154">
        <v>21000</v>
      </c>
      <c r="C15" s="154">
        <f>B15*1.06</f>
        <v>22260</v>
      </c>
      <c r="D15" s="154">
        <v>20107</v>
      </c>
      <c r="E15" s="155">
        <f>D15/C15</f>
        <v>0.90327942497753821</v>
      </c>
      <c r="F15" s="154">
        <f>$C$15</f>
        <v>22260</v>
      </c>
      <c r="G15" s="154">
        <v>21663</v>
      </c>
      <c r="H15" s="172">
        <f>G15/F15</f>
        <v>0.97318059299191373</v>
      </c>
      <c r="I15" s="154">
        <f>$C$15</f>
        <v>22260</v>
      </c>
      <c r="J15" s="154">
        <v>17587</v>
      </c>
      <c r="K15" s="172">
        <f>J15/I15</f>
        <v>0.79007187780772692</v>
      </c>
      <c r="L15" s="154">
        <f>$C$15</f>
        <v>22260</v>
      </c>
      <c r="M15" s="154"/>
      <c r="N15" s="172">
        <f>M15/L15</f>
        <v>0</v>
      </c>
      <c r="O15" s="154">
        <f>$C$15</f>
        <v>22260</v>
      </c>
      <c r="P15" s="154"/>
      <c r="Q15" s="172">
        <f>P15/O15</f>
        <v>0</v>
      </c>
      <c r="R15" s="154">
        <f>$C$15</f>
        <v>22260</v>
      </c>
      <c r="S15" s="154"/>
      <c r="T15" s="172">
        <f>S15/R15</f>
        <v>0</v>
      </c>
      <c r="U15" s="154">
        <f>$C$15</f>
        <v>22260</v>
      </c>
      <c r="V15" s="154"/>
      <c r="W15" s="172">
        <f>V15/U15</f>
        <v>0</v>
      </c>
      <c r="X15" s="154">
        <f>$C$15</f>
        <v>22260</v>
      </c>
      <c r="Y15" s="154"/>
      <c r="Z15" s="172">
        <f>Y15/X15</f>
        <v>0</v>
      </c>
      <c r="AA15" s="154">
        <f>$C$15</f>
        <v>22260</v>
      </c>
      <c r="AB15" s="154"/>
      <c r="AC15" s="172">
        <f>AB15/AA15</f>
        <v>0</v>
      </c>
      <c r="AD15" s="154">
        <f>$C$15</f>
        <v>22260</v>
      </c>
      <c r="AE15" s="154"/>
      <c r="AF15" s="172">
        <f>AE15/AD15</f>
        <v>0</v>
      </c>
      <c r="AG15" s="154">
        <f>$C$15</f>
        <v>22260</v>
      </c>
      <c r="AH15" s="154"/>
      <c r="AI15" s="172">
        <f>AH15/AG15</f>
        <v>0</v>
      </c>
      <c r="AJ15" s="154">
        <f>$C$15</f>
        <v>22260</v>
      </c>
      <c r="AK15" s="154"/>
      <c r="AL15" s="172">
        <f>AK15/AJ15</f>
        <v>0</v>
      </c>
      <c r="AM15" s="173">
        <f>C15+F15+I15+L15+O15+R15+U15+X15+AA15+AD15+AG15+AJ15</f>
        <v>267120</v>
      </c>
      <c r="AN15" s="154">
        <f>D15+G15+J15+M15+P15+S15+V15+Y15+AB15+AE15+AH15+AK15</f>
        <v>59357</v>
      </c>
      <c r="AO15" s="155">
        <f>AN15/AM15</f>
        <v>0.22221099131476491</v>
      </c>
      <c r="AQ15" s="154">
        <v>252000</v>
      </c>
      <c r="AR15" s="154">
        <v>193047</v>
      </c>
      <c r="AS15" s="155">
        <v>0.7660595238095238</v>
      </c>
      <c r="AT15" s="156">
        <f>AR15/10</f>
        <v>19304.7</v>
      </c>
      <c r="AU15" s="156">
        <f t="shared" si="2"/>
        <v>21000</v>
      </c>
    </row>
    <row r="16" spans="1:47" s="141" customFormat="1" ht="11.4" x14ac:dyDescent="0.2">
      <c r="A16" s="198" t="s">
        <v>107</v>
      </c>
      <c r="B16" s="154">
        <v>4500</v>
      </c>
      <c r="C16" s="154">
        <f t="shared" ref="C16:C22" si="3">B16*1.06</f>
        <v>4770</v>
      </c>
      <c r="D16" s="154">
        <v>4634</v>
      </c>
      <c r="E16" s="155">
        <f>D16/C16</f>
        <v>0.97148846960167712</v>
      </c>
      <c r="F16" s="154">
        <f>$C$16</f>
        <v>4770</v>
      </c>
      <c r="G16" s="154">
        <v>4634</v>
      </c>
      <c r="H16" s="155">
        <f t="shared" ref="H16:H67" si="4">G16/F16</f>
        <v>0.97148846960167712</v>
      </c>
      <c r="I16" s="154">
        <f>$C$16</f>
        <v>4770</v>
      </c>
      <c r="J16" s="154">
        <v>4364</v>
      </c>
      <c r="K16" s="155">
        <f>J16/I16</f>
        <v>0.91488469601677147</v>
      </c>
      <c r="L16" s="154">
        <f>$C$16</f>
        <v>4770</v>
      </c>
      <c r="M16" s="154"/>
      <c r="N16" s="155">
        <f>M16/L16</f>
        <v>0</v>
      </c>
      <c r="O16" s="154">
        <f>$C$16</f>
        <v>4770</v>
      </c>
      <c r="P16" s="154"/>
      <c r="Q16" s="155">
        <f>P16/O16</f>
        <v>0</v>
      </c>
      <c r="R16" s="154">
        <f>$C$16</f>
        <v>4770</v>
      </c>
      <c r="S16" s="154"/>
      <c r="T16" s="155">
        <f>S16/R16</f>
        <v>0</v>
      </c>
      <c r="U16" s="154">
        <f>$C$16</f>
        <v>4770</v>
      </c>
      <c r="V16" s="154"/>
      <c r="W16" s="155">
        <f>V16/U16</f>
        <v>0</v>
      </c>
      <c r="X16" s="154">
        <f>$C$16</f>
        <v>4770</v>
      </c>
      <c r="Y16" s="154"/>
      <c r="Z16" s="155">
        <f>Y16/X16</f>
        <v>0</v>
      </c>
      <c r="AA16" s="154">
        <f>$C$16</f>
        <v>4770</v>
      </c>
      <c r="AB16" s="154"/>
      <c r="AC16" s="155">
        <f>AB16/AA16</f>
        <v>0</v>
      </c>
      <c r="AD16" s="154">
        <f>$C$16</f>
        <v>4770</v>
      </c>
      <c r="AE16" s="154"/>
      <c r="AF16" s="155">
        <f>AE16/AD16</f>
        <v>0</v>
      </c>
      <c r="AG16" s="154">
        <f>$C$16</f>
        <v>4770</v>
      </c>
      <c r="AH16" s="154"/>
      <c r="AI16" s="155">
        <f>AH16/AG16</f>
        <v>0</v>
      </c>
      <c r="AJ16" s="154">
        <f>$C$16</f>
        <v>4770</v>
      </c>
      <c r="AK16" s="154"/>
      <c r="AL16" s="155">
        <f>AK16/AJ16</f>
        <v>0</v>
      </c>
      <c r="AM16" s="173">
        <f t="shared" ref="AM16:AN67" si="5">C16+F16+I16+L16+O16+R16+U16+X16+AA16+AD16+AG16+AJ16</f>
        <v>57240</v>
      </c>
      <c r="AN16" s="154">
        <f t="shared" si="5"/>
        <v>13632</v>
      </c>
      <c r="AO16" s="155">
        <f t="shared" ref="AO16:AO67" si="6">AN16/AM16</f>
        <v>0.23815513626834381</v>
      </c>
      <c r="AQ16" s="154">
        <v>54000</v>
      </c>
      <c r="AR16" s="154">
        <v>41796</v>
      </c>
      <c r="AS16" s="155">
        <v>0.77400000000000002</v>
      </c>
      <c r="AT16" s="156">
        <f t="shared" si="1"/>
        <v>4179.6000000000004</v>
      </c>
      <c r="AU16" s="156">
        <f t="shared" si="2"/>
        <v>4500</v>
      </c>
    </row>
    <row r="17" spans="1:47" s="141" customFormat="1" ht="11.4" x14ac:dyDescent="0.2">
      <c r="A17" s="198" t="s">
        <v>51</v>
      </c>
      <c r="B17" s="154">
        <v>4250</v>
      </c>
      <c r="C17" s="154">
        <f t="shared" si="3"/>
        <v>4505</v>
      </c>
      <c r="D17" s="154">
        <v>3902</v>
      </c>
      <c r="E17" s="155">
        <f>D17/C17</f>
        <v>0.86614872364039952</v>
      </c>
      <c r="F17" s="154">
        <f>$C$17</f>
        <v>4505</v>
      </c>
      <c r="G17" s="154">
        <v>3870</v>
      </c>
      <c r="H17" s="155">
        <v>0</v>
      </c>
      <c r="I17" s="154">
        <f>$C$17</f>
        <v>4505</v>
      </c>
      <c r="J17" s="154">
        <v>3774</v>
      </c>
      <c r="K17" s="155">
        <v>0</v>
      </c>
      <c r="L17" s="154">
        <f>$C$17</f>
        <v>4505</v>
      </c>
      <c r="M17" s="154"/>
      <c r="N17" s="155">
        <v>0</v>
      </c>
      <c r="O17" s="154">
        <f>$C$17</f>
        <v>4505</v>
      </c>
      <c r="P17" s="154"/>
      <c r="Q17" s="155">
        <v>0</v>
      </c>
      <c r="R17" s="154">
        <f>$C$17</f>
        <v>4505</v>
      </c>
      <c r="S17" s="154"/>
      <c r="T17" s="155">
        <v>0</v>
      </c>
      <c r="U17" s="154">
        <f>$C$17</f>
        <v>4505</v>
      </c>
      <c r="V17" s="154"/>
      <c r="W17" s="155">
        <v>0</v>
      </c>
      <c r="X17" s="154">
        <f>$C$17</f>
        <v>4505</v>
      </c>
      <c r="Y17" s="154"/>
      <c r="Z17" s="155">
        <v>0</v>
      </c>
      <c r="AA17" s="154">
        <f>$C$17</f>
        <v>4505</v>
      </c>
      <c r="AB17" s="154"/>
      <c r="AC17" s="155">
        <v>0</v>
      </c>
      <c r="AD17" s="154">
        <f>$C$17</f>
        <v>4505</v>
      </c>
      <c r="AE17" s="154"/>
      <c r="AF17" s="155">
        <v>0</v>
      </c>
      <c r="AG17" s="154">
        <f>$C$17</f>
        <v>4505</v>
      </c>
      <c r="AH17" s="154"/>
      <c r="AI17" s="155">
        <v>0</v>
      </c>
      <c r="AJ17" s="154">
        <f>$C$17</f>
        <v>4505</v>
      </c>
      <c r="AK17" s="154"/>
      <c r="AL17" s="155">
        <v>0</v>
      </c>
      <c r="AM17" s="173">
        <f t="shared" si="5"/>
        <v>54060</v>
      </c>
      <c r="AN17" s="154">
        <f t="shared" si="5"/>
        <v>11546</v>
      </c>
      <c r="AO17" s="155">
        <f t="shared" si="6"/>
        <v>0.21357750647428783</v>
      </c>
      <c r="AQ17" s="154">
        <v>51000</v>
      </c>
      <c r="AR17" s="154">
        <v>37533</v>
      </c>
      <c r="AS17" s="155">
        <v>0.73594117647058821</v>
      </c>
      <c r="AT17" s="156">
        <f t="shared" si="1"/>
        <v>3753.3</v>
      </c>
      <c r="AU17" s="156">
        <f t="shared" si="2"/>
        <v>4250</v>
      </c>
    </row>
    <row r="18" spans="1:47" s="180" customFormat="1" ht="11.4" x14ac:dyDescent="0.2">
      <c r="A18" s="198" t="s">
        <v>108</v>
      </c>
      <c r="B18" s="154">
        <v>100</v>
      </c>
      <c r="C18" s="154">
        <f>B18</f>
        <v>100</v>
      </c>
      <c r="D18" s="154">
        <v>0</v>
      </c>
      <c r="E18" s="155">
        <f>D18/C18</f>
        <v>0</v>
      </c>
      <c r="F18" s="154">
        <f>$C$18</f>
        <v>100</v>
      </c>
      <c r="G18" s="154">
        <v>0</v>
      </c>
      <c r="H18" s="155">
        <v>0</v>
      </c>
      <c r="I18" s="154">
        <f>$C$18</f>
        <v>100</v>
      </c>
      <c r="J18" s="154">
        <v>0</v>
      </c>
      <c r="K18" s="174">
        <v>0</v>
      </c>
      <c r="L18" s="181">
        <v>0</v>
      </c>
      <c r="M18" s="181">
        <v>0</v>
      </c>
      <c r="N18" s="181">
        <v>0</v>
      </c>
      <c r="O18" s="181">
        <v>0</v>
      </c>
      <c r="P18" s="181">
        <v>0</v>
      </c>
      <c r="Q18" s="181">
        <v>0</v>
      </c>
      <c r="R18" s="181">
        <v>0</v>
      </c>
      <c r="S18" s="154"/>
      <c r="T18" s="155">
        <v>0</v>
      </c>
      <c r="U18" s="154">
        <f>$C$18</f>
        <v>100</v>
      </c>
      <c r="V18" s="154"/>
      <c r="W18" s="155">
        <v>0</v>
      </c>
      <c r="X18" s="154">
        <f>$C$18</f>
        <v>100</v>
      </c>
      <c r="Y18" s="154"/>
      <c r="Z18" s="155">
        <v>0</v>
      </c>
      <c r="AA18" s="154">
        <f>$C$18</f>
        <v>100</v>
      </c>
      <c r="AB18" s="154"/>
      <c r="AC18" s="155">
        <v>0</v>
      </c>
      <c r="AD18" s="154">
        <f>$C$18</f>
        <v>100</v>
      </c>
      <c r="AE18" s="154"/>
      <c r="AF18" s="155">
        <v>0</v>
      </c>
      <c r="AG18" s="154">
        <f>$C$18</f>
        <v>100</v>
      </c>
      <c r="AH18" s="154"/>
      <c r="AI18" s="155">
        <v>0</v>
      </c>
      <c r="AJ18" s="154">
        <f>$C$18</f>
        <v>100</v>
      </c>
      <c r="AK18" s="154"/>
      <c r="AL18" s="155">
        <v>0</v>
      </c>
      <c r="AM18" s="173">
        <f t="shared" si="5"/>
        <v>900</v>
      </c>
      <c r="AN18" s="154">
        <f t="shared" si="5"/>
        <v>0</v>
      </c>
      <c r="AO18" s="155">
        <f t="shared" si="6"/>
        <v>0</v>
      </c>
      <c r="AP18" s="141"/>
      <c r="AQ18" s="154">
        <v>1000</v>
      </c>
      <c r="AR18" s="154">
        <v>0</v>
      </c>
      <c r="AS18" s="155">
        <v>0</v>
      </c>
      <c r="AT18" s="156">
        <f t="shared" si="1"/>
        <v>0</v>
      </c>
      <c r="AU18" s="156">
        <f t="shared" si="2"/>
        <v>83.333333333333329</v>
      </c>
    </row>
    <row r="19" spans="1:47" s="141" customFormat="1" ht="11.4" x14ac:dyDescent="0.2">
      <c r="A19" s="198" t="s">
        <v>52</v>
      </c>
      <c r="B19" s="154">
        <v>150</v>
      </c>
      <c r="C19" s="154">
        <f>B19</f>
        <v>150</v>
      </c>
      <c r="D19" s="154">
        <v>150</v>
      </c>
      <c r="E19" s="155">
        <f>D19/C19</f>
        <v>1</v>
      </c>
      <c r="F19" s="157">
        <f>$C$19</f>
        <v>150</v>
      </c>
      <c r="G19" s="159">
        <v>150</v>
      </c>
      <c r="H19" s="155">
        <f t="shared" si="4"/>
        <v>1</v>
      </c>
      <c r="I19" s="157">
        <f>$C$19</f>
        <v>150</v>
      </c>
      <c r="J19" s="159">
        <v>150</v>
      </c>
      <c r="K19" s="155">
        <f t="shared" ref="K19:K24" si="7">J19/I19</f>
        <v>1</v>
      </c>
      <c r="L19" s="157">
        <f>$C$19</f>
        <v>150</v>
      </c>
      <c r="M19" s="159"/>
      <c r="N19" s="155">
        <f>M19/L19</f>
        <v>0</v>
      </c>
      <c r="O19" s="157">
        <f>$C$19</f>
        <v>150</v>
      </c>
      <c r="P19" s="159"/>
      <c r="Q19" s="155">
        <f>P19/O19</f>
        <v>0</v>
      </c>
      <c r="R19" s="157">
        <f>$C$19</f>
        <v>150</v>
      </c>
      <c r="S19" s="159"/>
      <c r="T19" s="155">
        <f>S19/R19</f>
        <v>0</v>
      </c>
      <c r="U19" s="157">
        <f>$C$19</f>
        <v>150</v>
      </c>
      <c r="V19" s="159"/>
      <c r="W19" s="155">
        <f>V19/U19</f>
        <v>0</v>
      </c>
      <c r="X19" s="157">
        <f>$C$19</f>
        <v>150</v>
      </c>
      <c r="Y19" s="159"/>
      <c r="Z19" s="155">
        <f>Y19/X19</f>
        <v>0</v>
      </c>
      <c r="AA19" s="157">
        <f>$C$19</f>
        <v>150</v>
      </c>
      <c r="AB19" s="159"/>
      <c r="AC19" s="155">
        <f>AB19/AA19</f>
        <v>0</v>
      </c>
      <c r="AD19" s="157">
        <f>$C$19</f>
        <v>150</v>
      </c>
      <c r="AE19" s="159"/>
      <c r="AF19" s="155">
        <f>AE19/AD19</f>
        <v>0</v>
      </c>
      <c r="AG19" s="157">
        <f>$C$19</f>
        <v>150</v>
      </c>
      <c r="AH19" s="159"/>
      <c r="AI19" s="155">
        <f>AH19/AG19</f>
        <v>0</v>
      </c>
      <c r="AJ19" s="157">
        <f>$C$19</f>
        <v>150</v>
      </c>
      <c r="AK19" s="159"/>
      <c r="AL19" s="155">
        <f>AK19/AJ19</f>
        <v>0</v>
      </c>
      <c r="AM19" s="173">
        <f t="shared" si="5"/>
        <v>1800</v>
      </c>
      <c r="AN19" s="154">
        <f t="shared" si="5"/>
        <v>450</v>
      </c>
      <c r="AO19" s="155">
        <f t="shared" si="6"/>
        <v>0.25</v>
      </c>
      <c r="AQ19" s="154">
        <v>1800</v>
      </c>
      <c r="AR19" s="154">
        <v>1900</v>
      </c>
      <c r="AS19" s="155">
        <v>1.0555555555555556</v>
      </c>
      <c r="AT19" s="156">
        <f t="shared" si="1"/>
        <v>190</v>
      </c>
      <c r="AU19" s="156">
        <f t="shared" si="2"/>
        <v>150</v>
      </c>
    </row>
    <row r="20" spans="1:47" s="141" customFormat="1" ht="11.4" x14ac:dyDescent="0.2">
      <c r="A20" s="198" t="s">
        <v>57</v>
      </c>
      <c r="B20" s="154">
        <v>11000</v>
      </c>
      <c r="C20" s="154">
        <v>0</v>
      </c>
      <c r="D20" s="154">
        <v>0</v>
      </c>
      <c r="E20" s="155">
        <v>0</v>
      </c>
      <c r="F20" s="157">
        <v>3000</v>
      </c>
      <c r="G20" s="154">
        <v>2873</v>
      </c>
      <c r="H20" s="155">
        <v>0</v>
      </c>
      <c r="I20" s="157">
        <v>9320</v>
      </c>
      <c r="J20" s="158">
        <v>3307</v>
      </c>
      <c r="K20" s="155">
        <f t="shared" si="7"/>
        <v>0.3548283261802575</v>
      </c>
      <c r="L20" s="157"/>
      <c r="M20" s="158"/>
      <c r="N20" s="155"/>
      <c r="O20" s="159"/>
      <c r="P20" s="157"/>
      <c r="Q20" s="171"/>
      <c r="R20" s="154"/>
      <c r="S20" s="157"/>
      <c r="T20" s="171"/>
      <c r="U20" s="154"/>
      <c r="V20" s="154"/>
      <c r="W20" s="172"/>
      <c r="X20" s="154"/>
      <c r="Y20" s="154"/>
      <c r="Z20" s="172"/>
      <c r="AA20" s="154"/>
      <c r="AB20" s="154"/>
      <c r="AC20" s="172"/>
      <c r="AD20" s="154"/>
      <c r="AE20" s="154"/>
      <c r="AF20" s="172"/>
      <c r="AG20" s="154"/>
      <c r="AH20" s="154"/>
      <c r="AI20" s="154"/>
      <c r="AJ20" s="154"/>
      <c r="AK20" s="154"/>
      <c r="AL20" s="154"/>
      <c r="AM20" s="173">
        <f>C20+F20+I20+L20+O20+R20+U20+X20+AA20+AD20+AG20+AJ20</f>
        <v>12320</v>
      </c>
      <c r="AN20" s="154">
        <f>D20+G20+J20+M20+P20+S20+V20+Y20+AB20+AE20+AH20+AK20</f>
        <v>6180</v>
      </c>
      <c r="AO20" s="155">
        <f t="shared" si="6"/>
        <v>0.50162337662337664</v>
      </c>
      <c r="AQ20" s="154">
        <v>11000</v>
      </c>
      <c r="AR20" s="154">
        <v>10232</v>
      </c>
      <c r="AS20" s="155">
        <v>0.93018181818181822</v>
      </c>
      <c r="AT20" s="156">
        <f t="shared" si="1"/>
        <v>1023.2</v>
      </c>
      <c r="AU20" s="156">
        <f t="shared" si="2"/>
        <v>916.66666666666663</v>
      </c>
    </row>
    <row r="21" spans="1:47" s="141" customFormat="1" ht="11.4" x14ac:dyDescent="0.2">
      <c r="A21" s="198" t="s">
        <v>59</v>
      </c>
      <c r="B21" s="154">
        <f>947+1049+411+829+795</f>
        <v>4031</v>
      </c>
      <c r="C21" s="154">
        <v>4725</v>
      </c>
      <c r="D21" s="154">
        <v>4027</v>
      </c>
      <c r="E21" s="174">
        <f t="shared" ref="E21:E67" si="8">D21/C21</f>
        <v>0.8522751322751323</v>
      </c>
      <c r="F21" s="157">
        <f>$C$21</f>
        <v>4725</v>
      </c>
      <c r="G21" s="157">
        <v>4027</v>
      </c>
      <c r="H21" s="174">
        <f t="shared" si="4"/>
        <v>0.8522751322751323</v>
      </c>
      <c r="I21" s="157">
        <f>$C$21+400+650</f>
        <v>5775</v>
      </c>
      <c r="J21" s="157">
        <v>4027</v>
      </c>
      <c r="K21" s="174">
        <f t="shared" si="7"/>
        <v>0.69731601731601733</v>
      </c>
      <c r="L21" s="229">
        <f>4031</f>
        <v>4031</v>
      </c>
      <c r="M21" s="229"/>
      <c r="N21" s="174">
        <f>M21/L21</f>
        <v>0</v>
      </c>
      <c r="O21" s="229">
        <v>4031</v>
      </c>
      <c r="P21" s="229"/>
      <c r="Q21" s="174">
        <f>P21/O21</f>
        <v>0</v>
      </c>
      <c r="R21" s="229">
        <v>4031</v>
      </c>
      <c r="S21" s="229"/>
      <c r="T21" s="174">
        <f>S21/R21</f>
        <v>0</v>
      </c>
      <c r="U21" s="229">
        <f>4031</f>
        <v>4031</v>
      </c>
      <c r="V21" s="229"/>
      <c r="W21" s="174">
        <f>V21/U21</f>
        <v>0</v>
      </c>
      <c r="X21" s="229">
        <f>4031+400</f>
        <v>4431</v>
      </c>
      <c r="Y21" s="229"/>
      <c r="Z21" s="174">
        <f>Y21/X21</f>
        <v>0</v>
      </c>
      <c r="AA21" s="229">
        <f>X21</f>
        <v>4431</v>
      </c>
      <c r="AB21" s="229"/>
      <c r="AC21" s="174">
        <f>AB21/AA21</f>
        <v>0</v>
      </c>
      <c r="AD21" s="229">
        <f>AA21</f>
        <v>4431</v>
      </c>
      <c r="AE21" s="229"/>
      <c r="AF21" s="174">
        <f>AE21/AD21</f>
        <v>0</v>
      </c>
      <c r="AG21" s="229">
        <f>AD21</f>
        <v>4431</v>
      </c>
      <c r="AH21" s="229"/>
      <c r="AI21" s="174">
        <f>AH21/AG21</f>
        <v>0</v>
      </c>
      <c r="AJ21" s="229">
        <f>AG21</f>
        <v>4431</v>
      </c>
      <c r="AK21" s="157"/>
      <c r="AL21" s="155">
        <f>AK21/AJ21</f>
        <v>0</v>
      </c>
      <c r="AM21" s="233">
        <f t="shared" si="5"/>
        <v>53504</v>
      </c>
      <c r="AN21" s="154">
        <f t="shared" si="5"/>
        <v>12081</v>
      </c>
      <c r="AO21" s="155">
        <f t="shared" si="6"/>
        <v>0.22579620215311005</v>
      </c>
      <c r="AQ21" s="154">
        <v>48960</v>
      </c>
      <c r="AR21" s="154">
        <v>40117</v>
      </c>
      <c r="AS21" s="155">
        <v>0.81938316993464055</v>
      </c>
      <c r="AT21" s="156">
        <f>AR21/10</f>
        <v>4011.7</v>
      </c>
      <c r="AU21" s="156">
        <f t="shared" si="2"/>
        <v>4080</v>
      </c>
    </row>
    <row r="22" spans="1:47" s="141" customFormat="1" ht="11.4" x14ac:dyDescent="0.2">
      <c r="A22" s="198" t="s">
        <v>60</v>
      </c>
      <c r="B22" s="154">
        <v>137740</v>
      </c>
      <c r="C22" s="154">
        <f t="shared" si="3"/>
        <v>146004.4</v>
      </c>
      <c r="D22" s="154">
        <v>122724</v>
      </c>
      <c r="E22" s="174">
        <f t="shared" si="8"/>
        <v>0.84055001082159175</v>
      </c>
      <c r="F22" s="154">
        <f>$C$22</f>
        <v>146004.4</v>
      </c>
      <c r="G22" s="157">
        <v>173124</v>
      </c>
      <c r="H22" s="155">
        <f t="shared" si="4"/>
        <v>1.1857450871343604</v>
      </c>
      <c r="I22" s="154">
        <f>$C$22</f>
        <v>146004.4</v>
      </c>
      <c r="J22" s="157">
        <v>65019</v>
      </c>
      <c r="K22" s="155">
        <f t="shared" si="7"/>
        <v>0.4453221957694426</v>
      </c>
      <c r="L22" s="181">
        <f>L8*30%</f>
        <v>21900</v>
      </c>
      <c r="M22" s="157"/>
      <c r="N22" s="155">
        <f>M22/L22</f>
        <v>0</v>
      </c>
      <c r="O22" s="181">
        <f>L22</f>
        <v>21900</v>
      </c>
      <c r="P22" s="157"/>
      <c r="Q22" s="155">
        <f>P22/O22</f>
        <v>0</v>
      </c>
      <c r="R22" s="154">
        <f>$C$22</f>
        <v>146004.4</v>
      </c>
      <c r="S22" s="157"/>
      <c r="T22" s="155">
        <f>S22/R22</f>
        <v>0</v>
      </c>
      <c r="U22" s="154">
        <f>$C$22</f>
        <v>146004.4</v>
      </c>
      <c r="V22" s="157"/>
      <c r="W22" s="155">
        <f>V22/U22</f>
        <v>0</v>
      </c>
      <c r="X22" s="154">
        <f>$C$22</f>
        <v>146004.4</v>
      </c>
      <c r="Y22" s="157"/>
      <c r="Z22" s="155">
        <f>Y22/X22</f>
        <v>0</v>
      </c>
      <c r="AA22" s="154">
        <f>$C$22</f>
        <v>146004.4</v>
      </c>
      <c r="AB22" s="157"/>
      <c r="AC22" s="155">
        <f>AB22/AA22</f>
        <v>0</v>
      </c>
      <c r="AD22" s="154">
        <f>$C$22</f>
        <v>146004.4</v>
      </c>
      <c r="AE22" s="157"/>
      <c r="AF22" s="155">
        <f>AE22/AD22</f>
        <v>0</v>
      </c>
      <c r="AG22" s="154">
        <f>$C$22</f>
        <v>146004.4</v>
      </c>
      <c r="AH22" s="157"/>
      <c r="AI22" s="155">
        <f>AH22/AG22</f>
        <v>0</v>
      </c>
      <c r="AJ22" s="154">
        <f>$C$22</f>
        <v>146004.4</v>
      </c>
      <c r="AK22" s="157"/>
      <c r="AL22" s="155">
        <f>AK22/AJ22</f>
        <v>0</v>
      </c>
      <c r="AM22" s="173">
        <f>C22+F22+I22+L22+O22+R22+U22+X22+AA22+AD22+AG22+AJ22</f>
        <v>1503843.9999999998</v>
      </c>
      <c r="AN22" s="154">
        <f t="shared" si="5"/>
        <v>360867</v>
      </c>
      <c r="AO22" s="155">
        <f t="shared" si="6"/>
        <v>0.23996305467854381</v>
      </c>
      <c r="AQ22" s="154">
        <v>1190000</v>
      </c>
      <c r="AR22" s="154">
        <v>1290569</v>
      </c>
      <c r="AS22" s="174">
        <v>1.0845117647058824</v>
      </c>
      <c r="AT22" s="156">
        <f t="shared" si="1"/>
        <v>129056.9</v>
      </c>
      <c r="AU22" s="156">
        <f t="shared" si="2"/>
        <v>99166.666666666672</v>
      </c>
    </row>
    <row r="23" spans="1:47" s="141" customFormat="1" ht="12" thickBot="1" x14ac:dyDescent="0.25">
      <c r="A23" s="198" t="s">
        <v>62</v>
      </c>
      <c r="B23" s="154">
        <f>4725+4000</f>
        <v>8725</v>
      </c>
      <c r="C23" s="154">
        <v>8711</v>
      </c>
      <c r="D23" s="154">
        <v>8711</v>
      </c>
      <c r="E23" s="174">
        <f t="shared" si="8"/>
        <v>1</v>
      </c>
      <c r="F23" s="181">
        <v>8711</v>
      </c>
      <c r="G23" s="154">
        <v>8711</v>
      </c>
      <c r="H23" s="174">
        <f t="shared" si="4"/>
        <v>1</v>
      </c>
      <c r="I23" s="154">
        <v>8711</v>
      </c>
      <c r="J23" s="154">
        <v>8711</v>
      </c>
      <c r="K23" s="174">
        <f t="shared" si="7"/>
        <v>1</v>
      </c>
      <c r="L23" s="181">
        <f>4500+4000</f>
        <v>8500</v>
      </c>
      <c r="M23" s="181"/>
      <c r="N23" s="174">
        <f>M23/L23</f>
        <v>0</v>
      </c>
      <c r="O23" s="181">
        <f>4500+4000</f>
        <v>8500</v>
      </c>
      <c r="P23" s="181"/>
      <c r="Q23" s="174">
        <f>P23/O23</f>
        <v>0</v>
      </c>
      <c r="R23" s="181">
        <f>4500+4000</f>
        <v>8500</v>
      </c>
      <c r="S23" s="181"/>
      <c r="T23" s="174">
        <f>S23/R23</f>
        <v>0</v>
      </c>
      <c r="U23" s="181">
        <f>4500+4000</f>
        <v>8500</v>
      </c>
      <c r="V23" s="181"/>
      <c r="W23" s="174">
        <f>V23/U23</f>
        <v>0</v>
      </c>
      <c r="X23" s="181">
        <f>4500+4000</f>
        <v>8500</v>
      </c>
      <c r="Y23" s="181"/>
      <c r="Z23" s="174">
        <f>Y23/X23</f>
        <v>0</v>
      </c>
      <c r="AA23" s="181">
        <f>4500+4000</f>
        <v>8500</v>
      </c>
      <c r="AB23" s="181"/>
      <c r="AC23" s="174">
        <f>AB23/AA23</f>
        <v>0</v>
      </c>
      <c r="AD23" s="181">
        <f>4500+4000</f>
        <v>8500</v>
      </c>
      <c r="AE23" s="181"/>
      <c r="AF23" s="174">
        <f>AE23/AD23</f>
        <v>0</v>
      </c>
      <c r="AG23" s="181">
        <f>4500+4000</f>
        <v>8500</v>
      </c>
      <c r="AH23" s="181"/>
      <c r="AI23" s="174">
        <f>AH23/AG23</f>
        <v>0</v>
      </c>
      <c r="AJ23" s="181">
        <f>4500+4000</f>
        <v>8500</v>
      </c>
      <c r="AK23" s="181"/>
      <c r="AL23" s="174">
        <f>AK23/AJ23</f>
        <v>0</v>
      </c>
      <c r="AM23" s="232">
        <f t="shared" si="5"/>
        <v>102633</v>
      </c>
      <c r="AN23" s="154">
        <f t="shared" si="5"/>
        <v>26133</v>
      </c>
      <c r="AO23" s="155">
        <f t="shared" si="6"/>
        <v>0.25462570518254363</v>
      </c>
      <c r="AQ23" s="154">
        <v>104700</v>
      </c>
      <c r="AR23" s="154">
        <v>83731</v>
      </c>
      <c r="AS23" s="155">
        <v>0.79972301814708691</v>
      </c>
      <c r="AT23" s="156">
        <f>AR23/10</f>
        <v>8373.1</v>
      </c>
      <c r="AU23" s="156">
        <f t="shared" si="2"/>
        <v>8725</v>
      </c>
    </row>
    <row r="24" spans="1:47" s="141" customFormat="1" ht="12.6" thickBot="1" x14ac:dyDescent="0.3">
      <c r="A24" s="164"/>
      <c r="B24" s="165">
        <f>SUM(B15:B23)</f>
        <v>191496</v>
      </c>
      <c r="C24" s="165">
        <f>SUM(C15:C23)</f>
        <v>191225.4</v>
      </c>
      <c r="D24" s="165">
        <f t="shared" ref="D24:AL24" si="9">SUM(D15:D23)</f>
        <v>164255</v>
      </c>
      <c r="E24" s="190">
        <f>D24/C24</f>
        <v>0.85896015905836776</v>
      </c>
      <c r="F24" s="165">
        <f t="shared" si="9"/>
        <v>194225.4</v>
      </c>
      <c r="G24" s="165">
        <f t="shared" si="9"/>
        <v>219052</v>
      </c>
      <c r="H24" s="190">
        <f>G24/F24</f>
        <v>1.1278236523132401</v>
      </c>
      <c r="I24" s="165">
        <f t="shared" si="9"/>
        <v>201595.4</v>
      </c>
      <c r="J24" s="165">
        <f t="shared" si="9"/>
        <v>106939</v>
      </c>
      <c r="K24" s="190">
        <f t="shared" si="7"/>
        <v>0.53046349271858384</v>
      </c>
      <c r="L24" s="165">
        <f t="shared" si="9"/>
        <v>66116</v>
      </c>
      <c r="M24" s="165">
        <f t="shared" si="9"/>
        <v>0</v>
      </c>
      <c r="N24" s="165">
        <f t="shared" si="9"/>
        <v>0</v>
      </c>
      <c r="O24" s="165">
        <f t="shared" si="9"/>
        <v>66116</v>
      </c>
      <c r="P24" s="165">
        <f t="shared" si="9"/>
        <v>0</v>
      </c>
      <c r="Q24" s="165">
        <f t="shared" si="9"/>
        <v>0</v>
      </c>
      <c r="R24" s="165">
        <f t="shared" si="9"/>
        <v>190220.4</v>
      </c>
      <c r="S24" s="165">
        <f t="shared" si="9"/>
        <v>0</v>
      </c>
      <c r="T24" s="165">
        <f t="shared" si="9"/>
        <v>0</v>
      </c>
      <c r="U24" s="165">
        <f t="shared" si="9"/>
        <v>190320.4</v>
      </c>
      <c r="V24" s="165">
        <f t="shared" si="9"/>
        <v>0</v>
      </c>
      <c r="W24" s="165">
        <f t="shared" si="9"/>
        <v>0</v>
      </c>
      <c r="X24" s="165">
        <f t="shared" si="9"/>
        <v>190720.4</v>
      </c>
      <c r="Y24" s="165">
        <f t="shared" si="9"/>
        <v>0</v>
      </c>
      <c r="Z24" s="165">
        <f t="shared" si="9"/>
        <v>0</v>
      </c>
      <c r="AA24" s="165">
        <f t="shared" si="9"/>
        <v>190720.4</v>
      </c>
      <c r="AB24" s="165">
        <f t="shared" si="9"/>
        <v>0</v>
      </c>
      <c r="AC24" s="165">
        <f t="shared" si="9"/>
        <v>0</v>
      </c>
      <c r="AD24" s="165">
        <f t="shared" si="9"/>
        <v>190720.4</v>
      </c>
      <c r="AE24" s="165">
        <f t="shared" si="9"/>
        <v>0</v>
      </c>
      <c r="AF24" s="165">
        <f t="shared" si="9"/>
        <v>0</v>
      </c>
      <c r="AG24" s="165">
        <f t="shared" si="9"/>
        <v>190720.4</v>
      </c>
      <c r="AH24" s="165">
        <f t="shared" si="9"/>
        <v>0</v>
      </c>
      <c r="AI24" s="165">
        <f t="shared" si="9"/>
        <v>0</v>
      </c>
      <c r="AJ24" s="165">
        <f t="shared" si="9"/>
        <v>190720.4</v>
      </c>
      <c r="AK24" s="165">
        <f t="shared" si="9"/>
        <v>0</v>
      </c>
      <c r="AL24" s="165">
        <f t="shared" si="9"/>
        <v>0</v>
      </c>
      <c r="AM24" s="165">
        <f>SUM(AM15:AM23)</f>
        <v>2053420.9999999998</v>
      </c>
      <c r="AN24" s="165">
        <f>SUM(AN15:AN23)</f>
        <v>490246</v>
      </c>
      <c r="AO24" s="165">
        <f>SUM(AO15:AO23)</f>
        <v>2.145951972694971</v>
      </c>
      <c r="AQ24" s="165"/>
      <c r="AR24" s="165"/>
      <c r="AS24" s="166"/>
      <c r="AT24" s="156"/>
      <c r="AU24" s="156">
        <f t="shared" si="2"/>
        <v>0</v>
      </c>
    </row>
    <row r="25" spans="1:47" s="141" customFormat="1" ht="12.6" thickBot="1" x14ac:dyDescent="0.3">
      <c r="A25" s="200" t="s">
        <v>142</v>
      </c>
      <c r="B25" s="154"/>
      <c r="C25" s="154"/>
      <c r="D25" s="154"/>
      <c r="E25" s="155"/>
      <c r="F25" s="157"/>
      <c r="G25" s="159"/>
      <c r="H25" s="155"/>
      <c r="I25" s="157"/>
      <c r="J25" s="158"/>
      <c r="K25" s="155"/>
      <c r="L25" s="157"/>
      <c r="M25" s="159"/>
      <c r="N25" s="155"/>
      <c r="O25" s="159"/>
      <c r="P25" s="157"/>
      <c r="Q25" s="171"/>
      <c r="R25" s="154"/>
      <c r="S25" s="157"/>
      <c r="T25" s="171"/>
      <c r="U25" s="154"/>
      <c r="V25" s="154"/>
      <c r="W25" s="172"/>
      <c r="X25" s="154"/>
      <c r="Y25" s="154"/>
      <c r="Z25" s="172"/>
      <c r="AA25" s="154"/>
      <c r="AB25" s="154"/>
      <c r="AC25" s="172"/>
      <c r="AD25" s="154"/>
      <c r="AE25" s="154"/>
      <c r="AF25" s="172"/>
      <c r="AG25" s="154"/>
      <c r="AH25" s="154"/>
      <c r="AI25" s="154"/>
      <c r="AJ25" s="154"/>
      <c r="AK25" s="154"/>
      <c r="AL25" s="154"/>
      <c r="AM25" s="154">
        <f t="shared" si="5"/>
        <v>0</v>
      </c>
      <c r="AN25" s="154">
        <f t="shared" si="5"/>
        <v>0</v>
      </c>
      <c r="AO25" s="155">
        <v>0</v>
      </c>
      <c r="AQ25" s="154">
        <v>0</v>
      </c>
      <c r="AR25" s="154">
        <v>0</v>
      </c>
      <c r="AS25" s="155">
        <v>0</v>
      </c>
      <c r="AT25" s="156">
        <f t="shared" si="1"/>
        <v>0</v>
      </c>
      <c r="AU25" s="156"/>
    </row>
    <row r="26" spans="1:47" s="141" customFormat="1" ht="11.4" x14ac:dyDescent="0.2">
      <c r="A26" s="198" t="s">
        <v>110</v>
      </c>
      <c r="B26" s="154">
        <v>744</v>
      </c>
      <c r="C26" s="154">
        <f>B26*1.06</f>
        <v>788.64</v>
      </c>
      <c r="D26" s="181">
        <v>877</v>
      </c>
      <c r="E26" s="174">
        <f t="shared" si="8"/>
        <v>1.112040981943599</v>
      </c>
      <c r="F26" s="157">
        <f>$C$26</f>
        <v>788.64</v>
      </c>
      <c r="G26" s="159">
        <v>956</v>
      </c>
      <c r="H26" s="155">
        <f t="shared" si="4"/>
        <v>1.2122134307161696</v>
      </c>
      <c r="I26" s="154">
        <f>$C$26</f>
        <v>788.64</v>
      </c>
      <c r="J26" s="154">
        <v>620</v>
      </c>
      <c r="K26" s="155">
        <f>J26/I26</f>
        <v>0.78616352201257866</v>
      </c>
      <c r="L26" s="181">
        <v>400</v>
      </c>
      <c r="M26" s="154"/>
      <c r="N26" s="155">
        <f>M26/L26</f>
        <v>0</v>
      </c>
      <c r="O26" s="181">
        <v>400</v>
      </c>
      <c r="P26" s="154"/>
      <c r="Q26" s="155">
        <f>P26/O26</f>
        <v>0</v>
      </c>
      <c r="R26" s="181">
        <v>400</v>
      </c>
      <c r="S26" s="154"/>
      <c r="T26" s="155">
        <f>S26/R26</f>
        <v>0</v>
      </c>
      <c r="U26" s="154">
        <f>$C$26</f>
        <v>788.64</v>
      </c>
      <c r="V26" s="154"/>
      <c r="W26" s="155">
        <f>V26/U26</f>
        <v>0</v>
      </c>
      <c r="X26" s="154">
        <f>$C$26</f>
        <v>788.64</v>
      </c>
      <c r="Y26" s="154"/>
      <c r="Z26" s="155">
        <f>Y26/X26</f>
        <v>0</v>
      </c>
      <c r="AA26" s="154">
        <f>$C$26</f>
        <v>788.64</v>
      </c>
      <c r="AB26" s="154"/>
      <c r="AC26" s="155">
        <f>AB26/AA26</f>
        <v>0</v>
      </c>
      <c r="AD26" s="154">
        <f>$C$26</f>
        <v>788.64</v>
      </c>
      <c r="AE26" s="154"/>
      <c r="AF26" s="155">
        <f>AE26/AD26</f>
        <v>0</v>
      </c>
      <c r="AG26" s="154">
        <f>$C$26</f>
        <v>788.64</v>
      </c>
      <c r="AH26" s="154"/>
      <c r="AI26" s="155">
        <f>AH26/AG26</f>
        <v>0</v>
      </c>
      <c r="AJ26" s="154">
        <f>$C$26</f>
        <v>788.64</v>
      </c>
      <c r="AK26" s="154"/>
      <c r="AL26" s="155">
        <f>AK26/AJ26</f>
        <v>0</v>
      </c>
      <c r="AM26" s="173">
        <f t="shared" si="5"/>
        <v>8297.760000000002</v>
      </c>
      <c r="AN26" s="154">
        <f t="shared" si="5"/>
        <v>2453</v>
      </c>
      <c r="AO26" s="155">
        <f t="shared" si="6"/>
        <v>0.29562195098436195</v>
      </c>
      <c r="AQ26" s="154">
        <v>8760</v>
      </c>
      <c r="AR26" s="154">
        <v>7438</v>
      </c>
      <c r="AS26" s="155">
        <v>0.84908675799086752</v>
      </c>
      <c r="AT26" s="156">
        <f t="shared" si="1"/>
        <v>743.8</v>
      </c>
      <c r="AU26" s="156">
        <f>AQ26/12</f>
        <v>730</v>
      </c>
    </row>
    <row r="27" spans="1:47" s="141" customFormat="1" ht="11.4" x14ac:dyDescent="0.2">
      <c r="A27" s="198" t="s">
        <v>111</v>
      </c>
      <c r="B27" s="154">
        <v>87</v>
      </c>
      <c r="C27" s="154">
        <v>87</v>
      </c>
      <c r="D27" s="154">
        <v>87</v>
      </c>
      <c r="E27" s="155">
        <f t="shared" si="8"/>
        <v>1</v>
      </c>
      <c r="F27" s="157"/>
      <c r="G27" s="159"/>
      <c r="H27" s="155"/>
      <c r="I27" s="157"/>
      <c r="J27" s="158"/>
      <c r="K27" s="155"/>
      <c r="L27" s="157">
        <v>91</v>
      </c>
      <c r="M27" s="159"/>
      <c r="N27" s="155">
        <f t="shared" ref="N27:N67" si="10">M27/L27</f>
        <v>0</v>
      </c>
      <c r="O27" s="159">
        <v>0</v>
      </c>
      <c r="P27" s="157"/>
      <c r="Q27" s="171">
        <v>1</v>
      </c>
      <c r="R27" s="154"/>
      <c r="S27" s="157"/>
      <c r="T27" s="171"/>
      <c r="U27" s="154"/>
      <c r="V27" s="154"/>
      <c r="W27" s="172"/>
      <c r="X27" s="157">
        <v>87</v>
      </c>
      <c r="Y27" s="154"/>
      <c r="Z27" s="172">
        <f t="shared" ref="Z27:Z67" si="11">Y27/X27</f>
        <v>0</v>
      </c>
      <c r="AA27" s="154"/>
      <c r="AB27" s="154"/>
      <c r="AC27" s="172"/>
      <c r="AD27" s="154"/>
      <c r="AE27" s="154"/>
      <c r="AF27" s="172"/>
      <c r="AG27" s="157">
        <v>87</v>
      </c>
      <c r="AH27" s="154"/>
      <c r="AI27" s="154"/>
      <c r="AJ27" s="154"/>
      <c r="AK27" s="154"/>
      <c r="AL27" s="154"/>
      <c r="AM27" s="173">
        <f t="shared" si="5"/>
        <v>352</v>
      </c>
      <c r="AN27" s="154">
        <f t="shared" si="5"/>
        <v>87</v>
      </c>
      <c r="AO27" s="155">
        <f t="shared" si="6"/>
        <v>0.24715909090909091</v>
      </c>
      <c r="AQ27" s="154">
        <v>364</v>
      </c>
      <c r="AR27" s="154">
        <v>174</v>
      </c>
      <c r="AS27" s="155">
        <v>0.47802197802197804</v>
      </c>
      <c r="AT27" s="156">
        <f>AQ27/4</f>
        <v>91</v>
      </c>
      <c r="AU27" s="156">
        <f t="shared" ref="AU27:AU80" si="12">AQ27/12</f>
        <v>30.333333333333332</v>
      </c>
    </row>
    <row r="28" spans="1:47" s="141" customFormat="1" ht="11.4" x14ac:dyDescent="0.2">
      <c r="A28" s="198" t="s">
        <v>112</v>
      </c>
      <c r="B28" s="154">
        <v>350</v>
      </c>
      <c r="C28" s="154">
        <v>350</v>
      </c>
      <c r="D28" s="154">
        <v>160</v>
      </c>
      <c r="E28" s="155">
        <f t="shared" si="8"/>
        <v>0.45714285714285713</v>
      </c>
      <c r="F28" s="157">
        <v>350</v>
      </c>
      <c r="G28" s="159">
        <v>164</v>
      </c>
      <c r="H28" s="155">
        <f t="shared" si="4"/>
        <v>0.46857142857142858</v>
      </c>
      <c r="I28" s="157">
        <v>350</v>
      </c>
      <c r="J28" s="158">
        <v>100</v>
      </c>
      <c r="K28" s="155">
        <f t="shared" ref="K28:K41" si="13">J28/I28</f>
        <v>0.2857142857142857</v>
      </c>
      <c r="L28" s="157">
        <v>350</v>
      </c>
      <c r="M28" s="159"/>
      <c r="N28" s="155">
        <f t="shared" si="10"/>
        <v>0</v>
      </c>
      <c r="O28" s="159">
        <v>350</v>
      </c>
      <c r="P28" s="157"/>
      <c r="Q28" s="171">
        <f t="shared" ref="Q28:Q40" si="14">P28/O28</f>
        <v>0</v>
      </c>
      <c r="R28" s="154">
        <v>350</v>
      </c>
      <c r="S28" s="157"/>
      <c r="T28" s="171">
        <f t="shared" ref="T28:T67" si="15">S28/R28</f>
        <v>0</v>
      </c>
      <c r="U28" s="154">
        <v>350</v>
      </c>
      <c r="V28" s="154"/>
      <c r="W28" s="172">
        <f t="shared" ref="W28:W40" si="16">V28/U28</f>
        <v>0</v>
      </c>
      <c r="X28" s="154">
        <v>350</v>
      </c>
      <c r="Y28" s="154"/>
      <c r="Z28" s="172">
        <f t="shared" si="11"/>
        <v>0</v>
      </c>
      <c r="AA28" s="154">
        <v>350</v>
      </c>
      <c r="AB28" s="154"/>
      <c r="AC28" s="172">
        <f t="shared" ref="AC28:AC67" si="17">AB28/AA28</f>
        <v>0</v>
      </c>
      <c r="AD28" s="154">
        <v>350</v>
      </c>
      <c r="AE28" s="154"/>
      <c r="AF28" s="172">
        <f t="shared" ref="AF28:AF67" si="18">AE28/AD28</f>
        <v>0</v>
      </c>
      <c r="AG28" s="154">
        <v>350</v>
      </c>
      <c r="AH28" s="154"/>
      <c r="AI28" s="154">
        <f t="shared" ref="AI28:AI67" si="19">AH28/AG28</f>
        <v>0</v>
      </c>
      <c r="AJ28" s="154">
        <v>350</v>
      </c>
      <c r="AK28" s="154"/>
      <c r="AL28" s="154">
        <f t="shared" ref="AL28:AL67" si="20">AK28/AJ28</f>
        <v>0</v>
      </c>
      <c r="AM28" s="173">
        <f>C28+F28+I28+L28+O28+R28+U28+X28+AA28+AD28+AG28+AJ28</f>
        <v>4200</v>
      </c>
      <c r="AN28" s="154">
        <f t="shared" si="5"/>
        <v>424</v>
      </c>
      <c r="AO28" s="155">
        <f t="shared" si="6"/>
        <v>0.10095238095238095</v>
      </c>
      <c r="AQ28" s="154">
        <v>4200</v>
      </c>
      <c r="AR28" s="154">
        <v>1588</v>
      </c>
      <c r="AS28" s="155">
        <v>0.3780952380952381</v>
      </c>
      <c r="AT28" s="156">
        <f t="shared" si="1"/>
        <v>158.80000000000001</v>
      </c>
      <c r="AU28" s="156">
        <f t="shared" si="12"/>
        <v>350</v>
      </c>
    </row>
    <row r="29" spans="1:47" s="141" customFormat="1" ht="11.4" x14ac:dyDescent="0.2">
      <c r="A29" s="198" t="s">
        <v>113</v>
      </c>
      <c r="B29" s="154">
        <v>3500</v>
      </c>
      <c r="C29" s="154">
        <f>3675+457</f>
        <v>4132</v>
      </c>
      <c r="D29" s="154">
        <v>3160</v>
      </c>
      <c r="E29" s="155">
        <f t="shared" si="8"/>
        <v>0.76476282671829621</v>
      </c>
      <c r="F29" s="157">
        <f>$C$29</f>
        <v>4132</v>
      </c>
      <c r="G29" s="159">
        <v>3721</v>
      </c>
      <c r="H29" s="155">
        <f t="shared" si="4"/>
        <v>0.90053242981606973</v>
      </c>
      <c r="I29" s="154">
        <f>$C$29</f>
        <v>4132</v>
      </c>
      <c r="J29" s="154">
        <v>3447</v>
      </c>
      <c r="K29" s="155">
        <f t="shared" si="13"/>
        <v>0.83422071636011619</v>
      </c>
      <c r="L29" s="154">
        <f>$C$29</f>
        <v>4132</v>
      </c>
      <c r="M29" s="154"/>
      <c r="N29" s="155">
        <f t="shared" si="10"/>
        <v>0</v>
      </c>
      <c r="O29" s="154">
        <f>$C$29</f>
        <v>4132</v>
      </c>
      <c r="P29" s="154"/>
      <c r="Q29" s="155">
        <f t="shared" si="14"/>
        <v>0</v>
      </c>
      <c r="R29" s="154">
        <f>$C$29</f>
        <v>4132</v>
      </c>
      <c r="S29" s="154"/>
      <c r="T29" s="155">
        <f t="shared" si="15"/>
        <v>0</v>
      </c>
      <c r="U29" s="154">
        <f>$C$29</f>
        <v>4132</v>
      </c>
      <c r="V29" s="154"/>
      <c r="W29" s="155">
        <f t="shared" si="16"/>
        <v>0</v>
      </c>
      <c r="X29" s="154">
        <f>$C$29</f>
        <v>4132</v>
      </c>
      <c r="Y29" s="154"/>
      <c r="Z29" s="155">
        <f t="shared" si="11"/>
        <v>0</v>
      </c>
      <c r="AA29" s="154">
        <f>$C$29</f>
        <v>4132</v>
      </c>
      <c r="AB29" s="154"/>
      <c r="AC29" s="155">
        <f t="shared" si="17"/>
        <v>0</v>
      </c>
      <c r="AD29" s="154">
        <f>$C$29</f>
        <v>4132</v>
      </c>
      <c r="AE29" s="154"/>
      <c r="AF29" s="155">
        <f t="shared" si="18"/>
        <v>0</v>
      </c>
      <c r="AG29" s="154">
        <f>$C$29</f>
        <v>4132</v>
      </c>
      <c r="AH29" s="154"/>
      <c r="AI29" s="155">
        <f t="shared" si="19"/>
        <v>0</v>
      </c>
      <c r="AJ29" s="154">
        <f>$C$29</f>
        <v>4132</v>
      </c>
      <c r="AK29" s="154"/>
      <c r="AL29" s="155">
        <f t="shared" si="20"/>
        <v>0</v>
      </c>
      <c r="AM29" s="173">
        <f t="shared" si="5"/>
        <v>49584</v>
      </c>
      <c r="AN29" s="154">
        <f t="shared" si="5"/>
        <v>10328</v>
      </c>
      <c r="AO29" s="155">
        <f t="shared" si="6"/>
        <v>0.20829299774120685</v>
      </c>
      <c r="AQ29" s="154">
        <v>42000</v>
      </c>
      <c r="AR29" s="154">
        <v>31943</v>
      </c>
      <c r="AS29" s="155">
        <v>0.76054761904761903</v>
      </c>
      <c r="AT29" s="156">
        <f t="shared" si="1"/>
        <v>3194.3</v>
      </c>
      <c r="AU29" s="156">
        <f t="shared" si="12"/>
        <v>3500</v>
      </c>
    </row>
    <row r="30" spans="1:47" s="141" customFormat="1" ht="11.4" x14ac:dyDescent="0.2">
      <c r="A30" s="198" t="s">
        <v>114</v>
      </c>
      <c r="B30" s="154">
        <v>1056</v>
      </c>
      <c r="C30" s="154">
        <f>B30*1.05</f>
        <v>1108.8</v>
      </c>
      <c r="D30" s="154">
        <v>960</v>
      </c>
      <c r="E30" s="155">
        <f t="shared" si="8"/>
        <v>0.86580086580086579</v>
      </c>
      <c r="F30" s="157">
        <f>$C$30</f>
        <v>1108.8</v>
      </c>
      <c r="G30" s="159">
        <v>961</v>
      </c>
      <c r="H30" s="155">
        <f t="shared" si="4"/>
        <v>0.86670274170274175</v>
      </c>
      <c r="I30" s="154">
        <f>$C$30</f>
        <v>1108.8</v>
      </c>
      <c r="J30" s="154">
        <v>960</v>
      </c>
      <c r="K30" s="155">
        <f t="shared" si="13"/>
        <v>0.86580086580086579</v>
      </c>
      <c r="L30" s="154">
        <f>$C$30</f>
        <v>1108.8</v>
      </c>
      <c r="M30" s="154"/>
      <c r="N30" s="155">
        <f t="shared" si="10"/>
        <v>0</v>
      </c>
      <c r="O30" s="154">
        <f>$C$30</f>
        <v>1108.8</v>
      </c>
      <c r="P30" s="154"/>
      <c r="Q30" s="155">
        <f t="shared" si="14"/>
        <v>0</v>
      </c>
      <c r="R30" s="154">
        <f>$C$30</f>
        <v>1108.8</v>
      </c>
      <c r="S30" s="154"/>
      <c r="T30" s="155">
        <f t="shared" si="15"/>
        <v>0</v>
      </c>
      <c r="U30" s="154">
        <f>$C$30</f>
        <v>1108.8</v>
      </c>
      <c r="V30" s="154"/>
      <c r="W30" s="155">
        <f t="shared" si="16"/>
        <v>0</v>
      </c>
      <c r="X30" s="154">
        <f>$C$30</f>
        <v>1108.8</v>
      </c>
      <c r="Y30" s="154"/>
      <c r="Z30" s="155">
        <f t="shared" si="11"/>
        <v>0</v>
      </c>
      <c r="AA30" s="154">
        <f>$C$30</f>
        <v>1108.8</v>
      </c>
      <c r="AB30" s="154"/>
      <c r="AC30" s="155">
        <f t="shared" si="17"/>
        <v>0</v>
      </c>
      <c r="AD30" s="154">
        <f>$C$30</f>
        <v>1108.8</v>
      </c>
      <c r="AE30" s="154"/>
      <c r="AF30" s="155">
        <f t="shared" si="18"/>
        <v>0</v>
      </c>
      <c r="AG30" s="154">
        <f>$C$30</f>
        <v>1108.8</v>
      </c>
      <c r="AH30" s="154"/>
      <c r="AI30" s="155">
        <f t="shared" si="19"/>
        <v>0</v>
      </c>
      <c r="AJ30" s="154">
        <f>$C$30</f>
        <v>1108.8</v>
      </c>
      <c r="AK30" s="154"/>
      <c r="AL30" s="155">
        <f t="shared" si="20"/>
        <v>0</v>
      </c>
      <c r="AM30" s="173">
        <f t="shared" si="5"/>
        <v>13305.599999999997</v>
      </c>
      <c r="AN30" s="154">
        <f t="shared" si="5"/>
        <v>2881</v>
      </c>
      <c r="AO30" s="155">
        <f t="shared" si="6"/>
        <v>0.21652537277537282</v>
      </c>
      <c r="AQ30" s="154">
        <v>12672</v>
      </c>
      <c r="AR30" s="154">
        <v>9376</v>
      </c>
      <c r="AS30" s="155">
        <v>0.73989898989898994</v>
      </c>
      <c r="AT30" s="156">
        <f t="shared" si="1"/>
        <v>937.6</v>
      </c>
      <c r="AU30" s="156">
        <f>AQ30/12</f>
        <v>1056</v>
      </c>
    </row>
    <row r="31" spans="1:47" s="141" customFormat="1" ht="11.4" x14ac:dyDescent="0.2">
      <c r="A31" s="198" t="s">
        <v>115</v>
      </c>
      <c r="B31" s="154">
        <v>330</v>
      </c>
      <c r="C31" s="154">
        <f>B31*1.05</f>
        <v>346.5</v>
      </c>
      <c r="D31" s="154">
        <v>340</v>
      </c>
      <c r="E31" s="155">
        <f t="shared" si="8"/>
        <v>0.98124098124098125</v>
      </c>
      <c r="F31" s="157">
        <f>$C$31</f>
        <v>346.5</v>
      </c>
      <c r="G31" s="159">
        <v>340</v>
      </c>
      <c r="H31" s="155">
        <f t="shared" si="4"/>
        <v>0.98124098124098125</v>
      </c>
      <c r="I31" s="154">
        <f>$C$31</f>
        <v>346.5</v>
      </c>
      <c r="J31" s="154">
        <v>340</v>
      </c>
      <c r="K31" s="155">
        <f t="shared" si="13"/>
        <v>0.98124098124098125</v>
      </c>
      <c r="L31" s="154">
        <f>$C$31</f>
        <v>346.5</v>
      </c>
      <c r="M31" s="154"/>
      <c r="N31" s="155">
        <f t="shared" si="10"/>
        <v>0</v>
      </c>
      <c r="O31" s="154">
        <f>$C$31</f>
        <v>346.5</v>
      </c>
      <c r="P31" s="154"/>
      <c r="Q31" s="155">
        <f t="shared" si="14"/>
        <v>0</v>
      </c>
      <c r="R31" s="154">
        <f>$C$31</f>
        <v>346.5</v>
      </c>
      <c r="S31" s="154"/>
      <c r="T31" s="155">
        <f t="shared" si="15"/>
        <v>0</v>
      </c>
      <c r="U31" s="154">
        <f>$C$31</f>
        <v>346.5</v>
      </c>
      <c r="V31" s="154"/>
      <c r="W31" s="155">
        <f t="shared" si="16"/>
        <v>0</v>
      </c>
      <c r="X31" s="154">
        <f>$C$31</f>
        <v>346.5</v>
      </c>
      <c r="Y31" s="154"/>
      <c r="Z31" s="155">
        <f t="shared" si="11"/>
        <v>0</v>
      </c>
      <c r="AA31" s="154">
        <f>$C$31</f>
        <v>346.5</v>
      </c>
      <c r="AB31" s="154"/>
      <c r="AC31" s="155">
        <f t="shared" si="17"/>
        <v>0</v>
      </c>
      <c r="AD31" s="154">
        <f>$C$31</f>
        <v>346.5</v>
      </c>
      <c r="AE31" s="154"/>
      <c r="AF31" s="155">
        <f t="shared" si="18"/>
        <v>0</v>
      </c>
      <c r="AG31" s="154">
        <f>$C$31</f>
        <v>346.5</v>
      </c>
      <c r="AH31" s="154"/>
      <c r="AI31" s="155">
        <f t="shared" si="19"/>
        <v>0</v>
      </c>
      <c r="AJ31" s="154">
        <f>$C$31</f>
        <v>346.5</v>
      </c>
      <c r="AK31" s="154"/>
      <c r="AL31" s="155">
        <f t="shared" si="20"/>
        <v>0</v>
      </c>
      <c r="AM31" s="173">
        <f t="shared" si="5"/>
        <v>4158</v>
      </c>
      <c r="AN31" s="154">
        <f t="shared" si="5"/>
        <v>1020</v>
      </c>
      <c r="AO31" s="155">
        <f t="shared" si="6"/>
        <v>0.24531024531024531</v>
      </c>
      <c r="AQ31" s="154">
        <v>3800</v>
      </c>
      <c r="AR31" s="154">
        <v>3296</v>
      </c>
      <c r="AS31" s="155">
        <v>0.86736842105263157</v>
      </c>
      <c r="AT31" s="156">
        <f t="shared" si="1"/>
        <v>329.6</v>
      </c>
      <c r="AU31" s="156">
        <f t="shared" si="12"/>
        <v>316.66666666666669</v>
      </c>
    </row>
    <row r="32" spans="1:47" s="141" customFormat="1" ht="11.4" x14ac:dyDescent="0.2">
      <c r="A32" s="198" t="s">
        <v>116</v>
      </c>
      <c r="B32" s="154">
        <v>148</v>
      </c>
      <c r="C32" s="154">
        <v>148</v>
      </c>
      <c r="D32" s="154">
        <v>113</v>
      </c>
      <c r="E32" s="155">
        <f t="shared" si="8"/>
        <v>0.76351351351351349</v>
      </c>
      <c r="F32" s="157">
        <v>148</v>
      </c>
      <c r="G32" s="159">
        <v>57</v>
      </c>
      <c r="H32" s="155">
        <f t="shared" si="4"/>
        <v>0.38513513513513514</v>
      </c>
      <c r="I32" s="157">
        <v>148</v>
      </c>
      <c r="J32" s="158">
        <v>34</v>
      </c>
      <c r="K32" s="155">
        <f t="shared" si="13"/>
        <v>0.22972972972972974</v>
      </c>
      <c r="L32" s="157">
        <v>148</v>
      </c>
      <c r="M32" s="159"/>
      <c r="N32" s="155">
        <f t="shared" si="10"/>
        <v>0</v>
      </c>
      <c r="O32" s="159">
        <v>148</v>
      </c>
      <c r="P32" s="157"/>
      <c r="Q32" s="171">
        <f t="shared" si="14"/>
        <v>0</v>
      </c>
      <c r="R32" s="154">
        <v>148</v>
      </c>
      <c r="S32" s="157"/>
      <c r="T32" s="171">
        <f t="shared" si="15"/>
        <v>0</v>
      </c>
      <c r="U32" s="154">
        <v>148</v>
      </c>
      <c r="V32" s="154"/>
      <c r="W32" s="172">
        <f t="shared" si="16"/>
        <v>0</v>
      </c>
      <c r="X32" s="154">
        <v>148</v>
      </c>
      <c r="Y32" s="154"/>
      <c r="Z32" s="172">
        <f t="shared" si="11"/>
        <v>0</v>
      </c>
      <c r="AA32" s="154">
        <v>148</v>
      </c>
      <c r="AB32" s="154"/>
      <c r="AC32" s="172">
        <f t="shared" si="17"/>
        <v>0</v>
      </c>
      <c r="AD32" s="154">
        <v>148</v>
      </c>
      <c r="AE32" s="154"/>
      <c r="AF32" s="172">
        <f t="shared" si="18"/>
        <v>0</v>
      </c>
      <c r="AG32" s="154">
        <v>148</v>
      </c>
      <c r="AH32" s="154"/>
      <c r="AI32" s="154">
        <f t="shared" si="19"/>
        <v>0</v>
      </c>
      <c r="AJ32" s="154">
        <v>148</v>
      </c>
      <c r="AK32" s="154"/>
      <c r="AL32" s="154">
        <f t="shared" si="20"/>
        <v>0</v>
      </c>
      <c r="AM32" s="173">
        <f t="shared" si="5"/>
        <v>1776</v>
      </c>
      <c r="AN32" s="154">
        <f t="shared" si="5"/>
        <v>204</v>
      </c>
      <c r="AO32" s="155">
        <f t="shared" si="6"/>
        <v>0.11486486486486487</v>
      </c>
      <c r="AQ32" s="154">
        <v>1776</v>
      </c>
      <c r="AR32" s="154">
        <v>454</v>
      </c>
      <c r="AS32" s="155">
        <v>0.25563063063063063</v>
      </c>
      <c r="AT32" s="156">
        <f t="shared" si="1"/>
        <v>45.4</v>
      </c>
      <c r="AU32" s="156">
        <f t="shared" si="12"/>
        <v>148</v>
      </c>
    </row>
    <row r="33" spans="1:48" s="141" customFormat="1" ht="11.4" x14ac:dyDescent="0.2">
      <c r="A33" s="198" t="s">
        <v>117</v>
      </c>
      <c r="B33" s="154">
        <v>800</v>
      </c>
      <c r="C33" s="154">
        <v>800</v>
      </c>
      <c r="D33" s="154">
        <v>0</v>
      </c>
      <c r="E33" s="155">
        <f t="shared" si="8"/>
        <v>0</v>
      </c>
      <c r="F33" s="157">
        <f>$C$33</f>
        <v>800</v>
      </c>
      <c r="G33" s="159">
        <v>0</v>
      </c>
      <c r="H33" s="155">
        <f t="shared" si="4"/>
        <v>0</v>
      </c>
      <c r="I33" s="154">
        <f>$C$33</f>
        <v>800</v>
      </c>
      <c r="J33" s="154">
        <v>0</v>
      </c>
      <c r="K33" s="155">
        <f t="shared" si="13"/>
        <v>0</v>
      </c>
      <c r="L33" s="181">
        <v>0</v>
      </c>
      <c r="M33" s="154"/>
      <c r="N33" s="155" t="e">
        <f t="shared" si="10"/>
        <v>#DIV/0!</v>
      </c>
      <c r="O33" s="181">
        <v>0</v>
      </c>
      <c r="P33" s="154"/>
      <c r="Q33" s="155" t="e">
        <f t="shared" si="14"/>
        <v>#DIV/0!</v>
      </c>
      <c r="R33" s="181">
        <v>0</v>
      </c>
      <c r="S33" s="154"/>
      <c r="T33" s="155" t="e">
        <f t="shared" si="15"/>
        <v>#DIV/0!</v>
      </c>
      <c r="U33" s="154">
        <f>$C$33</f>
        <v>800</v>
      </c>
      <c r="V33" s="154"/>
      <c r="W33" s="155">
        <f t="shared" si="16"/>
        <v>0</v>
      </c>
      <c r="X33" s="154">
        <f>$C$33</f>
        <v>800</v>
      </c>
      <c r="Y33" s="154"/>
      <c r="Z33" s="155">
        <f t="shared" si="11"/>
        <v>0</v>
      </c>
      <c r="AA33" s="154">
        <f>$C$33</f>
        <v>800</v>
      </c>
      <c r="AB33" s="154"/>
      <c r="AC33" s="155">
        <f t="shared" si="17"/>
        <v>0</v>
      </c>
      <c r="AD33" s="154">
        <f>$C$33</f>
        <v>800</v>
      </c>
      <c r="AE33" s="154"/>
      <c r="AF33" s="155">
        <f t="shared" si="18"/>
        <v>0</v>
      </c>
      <c r="AG33" s="154">
        <f>$C$33</f>
        <v>800</v>
      </c>
      <c r="AH33" s="154"/>
      <c r="AI33" s="155">
        <f t="shared" si="19"/>
        <v>0</v>
      </c>
      <c r="AJ33" s="154">
        <f>$C$33</f>
        <v>800</v>
      </c>
      <c r="AK33" s="154"/>
      <c r="AL33" s="155">
        <f t="shared" si="20"/>
        <v>0</v>
      </c>
      <c r="AM33" s="173">
        <f>C33+F33+I33+L33+O33+R33+U33+X33+AA33+AD33+AG33+AJ33</f>
        <v>7200</v>
      </c>
      <c r="AN33" s="154">
        <f t="shared" si="5"/>
        <v>0</v>
      </c>
      <c r="AO33" s="155">
        <f t="shared" si="6"/>
        <v>0</v>
      </c>
      <c r="AQ33" s="154">
        <v>10410</v>
      </c>
      <c r="AR33" s="154">
        <v>1610</v>
      </c>
      <c r="AS33" s="155">
        <v>0.15465898174831894</v>
      </c>
      <c r="AT33" s="156">
        <f t="shared" si="1"/>
        <v>161</v>
      </c>
      <c r="AU33" s="156">
        <f t="shared" si="12"/>
        <v>867.5</v>
      </c>
    </row>
    <row r="34" spans="1:48" s="141" customFormat="1" ht="11.4" x14ac:dyDescent="0.2">
      <c r="A34" s="198" t="s">
        <v>75</v>
      </c>
      <c r="B34" s="154">
        <v>100</v>
      </c>
      <c r="C34" s="154">
        <f>B34*1.05</f>
        <v>105</v>
      </c>
      <c r="D34" s="154">
        <v>105</v>
      </c>
      <c r="E34" s="155">
        <f t="shared" si="8"/>
        <v>1</v>
      </c>
      <c r="F34" s="157">
        <f>$C$34</f>
        <v>105</v>
      </c>
      <c r="G34" s="159">
        <v>105</v>
      </c>
      <c r="H34" s="155">
        <f t="shared" si="4"/>
        <v>1</v>
      </c>
      <c r="I34" s="154">
        <f>$C$34</f>
        <v>105</v>
      </c>
      <c r="J34" s="154">
        <v>105</v>
      </c>
      <c r="K34" s="155">
        <f t="shared" si="13"/>
        <v>1</v>
      </c>
      <c r="L34" s="154">
        <f>$C$34</f>
        <v>105</v>
      </c>
      <c r="M34" s="154"/>
      <c r="N34" s="155">
        <f t="shared" si="10"/>
        <v>0</v>
      </c>
      <c r="O34" s="154">
        <f>$C$34</f>
        <v>105</v>
      </c>
      <c r="P34" s="154"/>
      <c r="Q34" s="155">
        <f t="shared" si="14"/>
        <v>0</v>
      </c>
      <c r="R34" s="154">
        <f>$C$34</f>
        <v>105</v>
      </c>
      <c r="S34" s="154"/>
      <c r="T34" s="155">
        <f t="shared" si="15"/>
        <v>0</v>
      </c>
      <c r="U34" s="154">
        <f>$C$34</f>
        <v>105</v>
      </c>
      <c r="V34" s="154"/>
      <c r="W34" s="155">
        <f t="shared" si="16"/>
        <v>0</v>
      </c>
      <c r="X34" s="154">
        <f>$C$34</f>
        <v>105</v>
      </c>
      <c r="Y34" s="154"/>
      <c r="Z34" s="155">
        <f t="shared" si="11"/>
        <v>0</v>
      </c>
      <c r="AA34" s="154">
        <f>$C$34</f>
        <v>105</v>
      </c>
      <c r="AB34" s="154"/>
      <c r="AC34" s="155">
        <f t="shared" si="17"/>
        <v>0</v>
      </c>
      <c r="AD34" s="154">
        <f>$C$34</f>
        <v>105</v>
      </c>
      <c r="AE34" s="154"/>
      <c r="AF34" s="155">
        <f t="shared" si="18"/>
        <v>0</v>
      </c>
      <c r="AG34" s="154">
        <f>$C$34</f>
        <v>105</v>
      </c>
      <c r="AH34" s="154"/>
      <c r="AI34" s="155">
        <f t="shared" si="19"/>
        <v>0</v>
      </c>
      <c r="AJ34" s="154">
        <f>$C$34</f>
        <v>105</v>
      </c>
      <c r="AK34" s="154"/>
      <c r="AL34" s="155">
        <f t="shared" si="20"/>
        <v>0</v>
      </c>
      <c r="AM34" s="173">
        <f t="shared" si="5"/>
        <v>1260</v>
      </c>
      <c r="AN34" s="154">
        <f t="shared" si="5"/>
        <v>315</v>
      </c>
      <c r="AO34" s="155">
        <f t="shared" si="6"/>
        <v>0.25</v>
      </c>
      <c r="AQ34" s="154">
        <v>1200</v>
      </c>
      <c r="AR34" s="154">
        <v>903</v>
      </c>
      <c r="AS34" s="155">
        <v>0.75249999999999995</v>
      </c>
      <c r="AT34" s="156">
        <f t="shared" si="1"/>
        <v>90.3</v>
      </c>
      <c r="AU34" s="156">
        <f t="shared" si="12"/>
        <v>100</v>
      </c>
    </row>
    <row r="35" spans="1:48" s="141" customFormat="1" ht="11.4" x14ac:dyDescent="0.2">
      <c r="A35" s="198" t="s">
        <v>105</v>
      </c>
      <c r="B35" s="154">
        <v>50000</v>
      </c>
      <c r="C35" s="154">
        <f>B35*1.1</f>
        <v>55000.000000000007</v>
      </c>
      <c r="D35" s="154">
        <v>46870</v>
      </c>
      <c r="E35" s="155">
        <f>D35/C35</f>
        <v>0.85218181818181804</v>
      </c>
      <c r="F35" s="157">
        <f>$C$35</f>
        <v>55000.000000000007</v>
      </c>
      <c r="G35" s="159">
        <v>45917</v>
      </c>
      <c r="H35" s="155">
        <f>G35/F35</f>
        <v>0.83485454545454529</v>
      </c>
      <c r="I35" s="154">
        <f>$C$35</f>
        <v>55000.000000000007</v>
      </c>
      <c r="J35" s="154">
        <v>46933</v>
      </c>
      <c r="K35" s="155">
        <f t="shared" si="13"/>
        <v>0.8533272727272726</v>
      </c>
      <c r="L35" s="181">
        <v>30000</v>
      </c>
      <c r="M35" s="154"/>
      <c r="N35" s="155">
        <f t="shared" si="10"/>
        <v>0</v>
      </c>
      <c r="O35" s="181">
        <v>30000</v>
      </c>
      <c r="P35" s="154"/>
      <c r="Q35" s="155">
        <f t="shared" si="14"/>
        <v>0</v>
      </c>
      <c r="R35" s="181">
        <v>30000</v>
      </c>
      <c r="S35" s="154"/>
      <c r="T35" s="155">
        <f t="shared" si="15"/>
        <v>0</v>
      </c>
      <c r="U35" s="181">
        <v>30000</v>
      </c>
      <c r="V35" s="154"/>
      <c r="W35" s="155">
        <f t="shared" si="16"/>
        <v>0</v>
      </c>
      <c r="X35" s="154">
        <f>$C$35</f>
        <v>55000.000000000007</v>
      </c>
      <c r="Y35" s="154"/>
      <c r="Z35" s="155">
        <f t="shared" si="11"/>
        <v>0</v>
      </c>
      <c r="AA35" s="154">
        <f>$C$35</f>
        <v>55000.000000000007</v>
      </c>
      <c r="AB35" s="154"/>
      <c r="AC35" s="155">
        <f t="shared" si="17"/>
        <v>0</v>
      </c>
      <c r="AD35" s="154">
        <f>$C$35</f>
        <v>55000.000000000007</v>
      </c>
      <c r="AE35" s="154"/>
      <c r="AF35" s="155">
        <f t="shared" si="18"/>
        <v>0</v>
      </c>
      <c r="AG35" s="154">
        <f>$C$35</f>
        <v>55000.000000000007</v>
      </c>
      <c r="AH35" s="154"/>
      <c r="AI35" s="155">
        <f t="shared" si="19"/>
        <v>0</v>
      </c>
      <c r="AJ35" s="154">
        <f>$C$35</f>
        <v>55000.000000000007</v>
      </c>
      <c r="AK35" s="154"/>
      <c r="AL35" s="155">
        <f t="shared" si="20"/>
        <v>0</v>
      </c>
      <c r="AM35" s="173">
        <f>C35+F35+I35+L35+O35+R35+U35+X35+AA35+AD35+AG35+AJ35</f>
        <v>560000</v>
      </c>
      <c r="AN35" s="154">
        <f>D35+G35+J35+M35+P35+S35+V35+Y35+AB35+AE35+AH35+AK35</f>
        <v>139720</v>
      </c>
      <c r="AO35" s="155">
        <f>AN35/AM35</f>
        <v>0.2495</v>
      </c>
      <c r="AQ35" s="154">
        <v>504000</v>
      </c>
      <c r="AR35" s="154">
        <v>468342</v>
      </c>
      <c r="AS35" s="155">
        <v>0.92925000000000002</v>
      </c>
      <c r="AT35" s="156">
        <f>AR35/10</f>
        <v>46834.2</v>
      </c>
      <c r="AU35" s="156">
        <f t="shared" si="12"/>
        <v>42000</v>
      </c>
      <c r="AV35" s="188">
        <f>AT35+60+60</f>
        <v>46954.2</v>
      </c>
    </row>
    <row r="36" spans="1:48" s="141" customFormat="1" ht="11.4" x14ac:dyDescent="0.2">
      <c r="A36" s="198" t="s">
        <v>76</v>
      </c>
      <c r="B36" s="154">
        <v>160</v>
      </c>
      <c r="C36" s="154">
        <v>160</v>
      </c>
      <c r="D36" s="154">
        <v>160</v>
      </c>
      <c r="E36" s="155">
        <f t="shared" si="8"/>
        <v>1</v>
      </c>
      <c r="F36" s="157">
        <v>160</v>
      </c>
      <c r="G36" s="159">
        <f>F36</f>
        <v>160</v>
      </c>
      <c r="H36" s="155">
        <f t="shared" si="4"/>
        <v>1</v>
      </c>
      <c r="I36" s="157">
        <v>160</v>
      </c>
      <c r="J36" s="158">
        <f>I36</f>
        <v>160</v>
      </c>
      <c r="K36" s="155">
        <f t="shared" si="13"/>
        <v>1</v>
      </c>
      <c r="L36" s="157">
        <v>160</v>
      </c>
      <c r="M36" s="159"/>
      <c r="N36" s="155">
        <f t="shared" si="10"/>
        <v>0</v>
      </c>
      <c r="O36" s="159">
        <v>160</v>
      </c>
      <c r="P36" s="157"/>
      <c r="Q36" s="171">
        <f t="shared" si="14"/>
        <v>0</v>
      </c>
      <c r="R36" s="154">
        <v>160</v>
      </c>
      <c r="S36" s="157"/>
      <c r="T36" s="171">
        <f t="shared" si="15"/>
        <v>0</v>
      </c>
      <c r="U36" s="154">
        <v>160</v>
      </c>
      <c r="V36" s="154"/>
      <c r="W36" s="172">
        <f t="shared" si="16"/>
        <v>0</v>
      </c>
      <c r="X36" s="154">
        <v>160</v>
      </c>
      <c r="Y36" s="154"/>
      <c r="Z36" s="172">
        <f t="shared" si="11"/>
        <v>0</v>
      </c>
      <c r="AA36" s="154">
        <v>160</v>
      </c>
      <c r="AB36" s="154"/>
      <c r="AC36" s="172">
        <f t="shared" si="17"/>
        <v>0</v>
      </c>
      <c r="AD36" s="154">
        <v>160</v>
      </c>
      <c r="AE36" s="154"/>
      <c r="AF36" s="172">
        <f t="shared" si="18"/>
        <v>0</v>
      </c>
      <c r="AG36" s="154">
        <v>160</v>
      </c>
      <c r="AH36" s="154"/>
      <c r="AI36" s="154">
        <f t="shared" si="19"/>
        <v>0</v>
      </c>
      <c r="AJ36" s="154">
        <v>160</v>
      </c>
      <c r="AK36" s="154"/>
      <c r="AL36" s="154">
        <f t="shared" si="20"/>
        <v>0</v>
      </c>
      <c r="AM36" s="173">
        <f t="shared" si="5"/>
        <v>1920</v>
      </c>
      <c r="AN36" s="154">
        <f t="shared" si="5"/>
        <v>480</v>
      </c>
      <c r="AO36" s="155">
        <f t="shared" si="6"/>
        <v>0.25</v>
      </c>
      <c r="AQ36" s="154">
        <v>1920</v>
      </c>
      <c r="AR36" s="154">
        <v>1600</v>
      </c>
      <c r="AS36" s="155">
        <v>0.83333333333333337</v>
      </c>
      <c r="AT36" s="156">
        <f t="shared" si="1"/>
        <v>160</v>
      </c>
      <c r="AU36" s="156">
        <f t="shared" si="12"/>
        <v>160</v>
      </c>
    </row>
    <row r="37" spans="1:48" s="141" customFormat="1" ht="11.4" x14ac:dyDescent="0.2">
      <c r="A37" s="198" t="s">
        <v>118</v>
      </c>
      <c r="B37" s="154">
        <v>3850</v>
      </c>
      <c r="C37" s="154">
        <f>B37</f>
        <v>3850</v>
      </c>
      <c r="D37" s="154">
        <v>3441</v>
      </c>
      <c r="E37" s="155">
        <f t="shared" si="8"/>
        <v>0.89376623376623376</v>
      </c>
      <c r="F37" s="157">
        <v>3850</v>
      </c>
      <c r="G37" s="159">
        <v>3441</v>
      </c>
      <c r="H37" s="155">
        <f t="shared" si="4"/>
        <v>0.89376623376623376</v>
      </c>
      <c r="I37" s="154">
        <v>3850</v>
      </c>
      <c r="J37" s="159">
        <v>3441</v>
      </c>
      <c r="K37" s="155">
        <f t="shared" si="13"/>
        <v>0.89376623376623376</v>
      </c>
      <c r="L37" s="181">
        <v>3441</v>
      </c>
      <c r="M37" s="159"/>
      <c r="N37" s="155">
        <f t="shared" si="10"/>
        <v>0</v>
      </c>
      <c r="O37" s="181">
        <v>3441</v>
      </c>
      <c r="P37" s="157"/>
      <c r="Q37" s="171">
        <f t="shared" si="14"/>
        <v>0</v>
      </c>
      <c r="R37" s="181">
        <v>3441</v>
      </c>
      <c r="S37" s="157"/>
      <c r="T37" s="171">
        <f t="shared" si="15"/>
        <v>0</v>
      </c>
      <c r="U37" s="154">
        <v>3850</v>
      </c>
      <c r="V37" s="154"/>
      <c r="W37" s="172">
        <f t="shared" si="16"/>
        <v>0</v>
      </c>
      <c r="X37" s="154">
        <v>3850</v>
      </c>
      <c r="Y37" s="154"/>
      <c r="Z37" s="172">
        <f t="shared" si="11"/>
        <v>0</v>
      </c>
      <c r="AA37" s="154">
        <v>3850</v>
      </c>
      <c r="AB37" s="154"/>
      <c r="AC37" s="172">
        <f t="shared" si="17"/>
        <v>0</v>
      </c>
      <c r="AD37" s="154">
        <v>3850</v>
      </c>
      <c r="AE37" s="154"/>
      <c r="AF37" s="172">
        <f t="shared" si="18"/>
        <v>0</v>
      </c>
      <c r="AG37" s="154">
        <v>3850</v>
      </c>
      <c r="AH37" s="154"/>
      <c r="AI37" s="154">
        <f t="shared" si="19"/>
        <v>0</v>
      </c>
      <c r="AJ37" s="154">
        <v>3850</v>
      </c>
      <c r="AK37" s="154"/>
      <c r="AL37" s="154">
        <f t="shared" si="20"/>
        <v>0</v>
      </c>
      <c r="AM37" s="173">
        <f t="shared" si="5"/>
        <v>44973</v>
      </c>
      <c r="AN37" s="154">
        <f t="shared" si="5"/>
        <v>10323</v>
      </c>
      <c r="AO37" s="155">
        <f t="shared" si="6"/>
        <v>0.22953772263358016</v>
      </c>
      <c r="AQ37" s="154">
        <v>46200</v>
      </c>
      <c r="AR37" s="154">
        <v>35617</v>
      </c>
      <c r="AS37" s="155">
        <v>0.77093073593073591</v>
      </c>
      <c r="AT37" s="156">
        <f t="shared" si="1"/>
        <v>3561.7</v>
      </c>
      <c r="AU37" s="156">
        <f t="shared" si="12"/>
        <v>3850</v>
      </c>
    </row>
    <row r="38" spans="1:48" s="141" customFormat="1" ht="11.4" x14ac:dyDescent="0.2">
      <c r="A38" s="198" t="s">
        <v>109</v>
      </c>
      <c r="B38" s="154">
        <v>100</v>
      </c>
      <c r="C38" s="154">
        <v>100</v>
      </c>
      <c r="D38" s="154">
        <v>26</v>
      </c>
      <c r="E38" s="155">
        <f>D38/C38</f>
        <v>0.26</v>
      </c>
      <c r="F38" s="157">
        <v>100</v>
      </c>
      <c r="G38" s="159">
        <v>26</v>
      </c>
      <c r="H38" s="155">
        <f>G38/F38</f>
        <v>0.26</v>
      </c>
      <c r="I38" s="157">
        <v>100</v>
      </c>
      <c r="J38" s="158">
        <v>0</v>
      </c>
      <c r="K38" s="155">
        <f t="shared" si="13"/>
        <v>0</v>
      </c>
      <c r="L38" s="229">
        <v>0</v>
      </c>
      <c r="M38" s="159"/>
      <c r="N38" s="155" t="e">
        <f>M38/L38</f>
        <v>#DIV/0!</v>
      </c>
      <c r="O38" s="222">
        <v>0</v>
      </c>
      <c r="P38" s="157"/>
      <c r="Q38" s="171" t="e">
        <f t="shared" si="14"/>
        <v>#DIV/0!</v>
      </c>
      <c r="R38" s="181">
        <v>0</v>
      </c>
      <c r="S38" s="157"/>
      <c r="T38" s="171" t="e">
        <f>S38/R38</f>
        <v>#DIV/0!</v>
      </c>
      <c r="U38" s="154">
        <v>100</v>
      </c>
      <c r="V38" s="154"/>
      <c r="W38" s="172">
        <f t="shared" si="16"/>
        <v>0</v>
      </c>
      <c r="X38" s="154">
        <v>100</v>
      </c>
      <c r="Y38" s="154"/>
      <c r="Z38" s="172">
        <f>Y38/X38</f>
        <v>0</v>
      </c>
      <c r="AA38" s="154">
        <v>100</v>
      </c>
      <c r="AB38" s="154"/>
      <c r="AC38" s="172">
        <f>AB38/AA38</f>
        <v>0</v>
      </c>
      <c r="AD38" s="154">
        <v>100</v>
      </c>
      <c r="AE38" s="154"/>
      <c r="AF38" s="172">
        <f>AE38/AD38</f>
        <v>0</v>
      </c>
      <c r="AG38" s="154">
        <v>100</v>
      </c>
      <c r="AH38" s="154"/>
      <c r="AI38" s="154">
        <f>AH38/AG38</f>
        <v>0</v>
      </c>
      <c r="AJ38" s="154">
        <v>100</v>
      </c>
      <c r="AK38" s="154"/>
      <c r="AL38" s="154">
        <f>AK38/AJ38</f>
        <v>0</v>
      </c>
      <c r="AM38" s="173">
        <f t="shared" si="5"/>
        <v>900</v>
      </c>
      <c r="AN38" s="154">
        <f t="shared" si="5"/>
        <v>52</v>
      </c>
      <c r="AO38" s="155">
        <f>AN38/AM38</f>
        <v>5.7777777777777775E-2</v>
      </c>
      <c r="AQ38" s="154">
        <v>1200</v>
      </c>
      <c r="AR38" s="154">
        <v>54</v>
      </c>
      <c r="AS38" s="155">
        <v>4.4999999999999998E-2</v>
      </c>
      <c r="AT38" s="156">
        <f>AR38/10</f>
        <v>5.4</v>
      </c>
      <c r="AU38" s="156">
        <f t="shared" si="12"/>
        <v>100</v>
      </c>
    </row>
    <row r="39" spans="1:48" s="141" customFormat="1" ht="11.4" x14ac:dyDescent="0.2">
      <c r="A39" s="198" t="s">
        <v>43</v>
      </c>
      <c r="B39" s="154">
        <f>1170</f>
        <v>1170</v>
      </c>
      <c r="C39" s="157">
        <v>1476</v>
      </c>
      <c r="D39" s="154">
        <v>1351</v>
      </c>
      <c r="E39" s="155"/>
      <c r="F39" s="157">
        <f>$C$39</f>
        <v>1476</v>
      </c>
      <c r="G39" s="159">
        <v>1373</v>
      </c>
      <c r="H39" s="155">
        <f>G39/F39</f>
        <v>0.93021680216802172</v>
      </c>
      <c r="I39" s="157">
        <f>$C$39</f>
        <v>1476</v>
      </c>
      <c r="J39" s="236"/>
      <c r="K39" s="155">
        <f t="shared" si="13"/>
        <v>0</v>
      </c>
      <c r="L39" s="157">
        <f>$C$39</f>
        <v>1476</v>
      </c>
      <c r="M39" s="159"/>
      <c r="N39" s="155">
        <f>M39/L39</f>
        <v>0</v>
      </c>
      <c r="O39" s="157">
        <f>$C$39</f>
        <v>1476</v>
      </c>
      <c r="P39" s="159"/>
      <c r="Q39" s="155">
        <f t="shared" si="14"/>
        <v>0</v>
      </c>
      <c r="R39" s="157">
        <f>$C$39</f>
        <v>1476</v>
      </c>
      <c r="S39" s="159"/>
      <c r="T39" s="155">
        <f>S39/R39</f>
        <v>0</v>
      </c>
      <c r="U39" s="157">
        <f>$C$39</f>
        <v>1476</v>
      </c>
      <c r="V39" s="159"/>
      <c r="W39" s="155">
        <f t="shared" si="16"/>
        <v>0</v>
      </c>
      <c r="X39" s="157">
        <f>$C$39</f>
        <v>1476</v>
      </c>
      <c r="Y39" s="159"/>
      <c r="Z39" s="155">
        <f>Y39/X39</f>
        <v>0</v>
      </c>
      <c r="AA39" s="157">
        <f>$C$39</f>
        <v>1476</v>
      </c>
      <c r="AB39" s="159"/>
      <c r="AC39" s="155">
        <f>AB39/AA39</f>
        <v>0</v>
      </c>
      <c r="AD39" s="157">
        <f>$C$39</f>
        <v>1476</v>
      </c>
      <c r="AE39" s="159"/>
      <c r="AF39" s="155">
        <f>AE39/AD39</f>
        <v>0</v>
      </c>
      <c r="AG39" s="157">
        <f>$C$39</f>
        <v>1476</v>
      </c>
      <c r="AH39" s="159"/>
      <c r="AI39" s="155">
        <f>AH39/AG39</f>
        <v>0</v>
      </c>
      <c r="AJ39" s="157">
        <f>$C$39</f>
        <v>1476</v>
      </c>
      <c r="AK39" s="159"/>
      <c r="AL39" s="155">
        <f>AK39/AJ39</f>
        <v>0</v>
      </c>
      <c r="AM39" s="173">
        <f>C39+F39+I39+L39+O39+R39+U39+X39+AA39+AD39+AG39+AJ39</f>
        <v>17712</v>
      </c>
      <c r="AN39" s="154">
        <f>D39+G39+J39+M39+P39+S39+V39+Y39+AB39+AE39+AH39+AK39</f>
        <v>2724</v>
      </c>
      <c r="AO39" s="155">
        <f>AN39/AM39</f>
        <v>0.15379403794037941</v>
      </c>
      <c r="AQ39" s="154">
        <v>16295</v>
      </c>
      <c r="AR39" s="154">
        <v>13632</v>
      </c>
      <c r="AS39" s="155">
        <v>0.83657563669837376</v>
      </c>
      <c r="AT39" s="156">
        <f>AR39/10</f>
        <v>1363.2</v>
      </c>
      <c r="AU39" s="156">
        <f>AQ39/12</f>
        <v>1357.9166666666667</v>
      </c>
    </row>
    <row r="40" spans="1:48" s="141" customFormat="1" ht="11.4" x14ac:dyDescent="0.2">
      <c r="A40" s="198" t="s">
        <v>78</v>
      </c>
      <c r="B40" s="154">
        <v>33600</v>
      </c>
      <c r="C40" s="154">
        <v>6135</v>
      </c>
      <c r="D40" s="154">
        <v>6135</v>
      </c>
      <c r="E40" s="155">
        <f>D40/C40</f>
        <v>1</v>
      </c>
      <c r="F40" s="154">
        <v>6135</v>
      </c>
      <c r="G40" s="159">
        <f>F40</f>
        <v>6135</v>
      </c>
      <c r="H40" s="155">
        <f>G40/F40</f>
        <v>1</v>
      </c>
      <c r="I40" s="157">
        <v>350</v>
      </c>
      <c r="J40" s="158">
        <v>0</v>
      </c>
      <c r="K40" s="155">
        <f t="shared" si="13"/>
        <v>0</v>
      </c>
      <c r="L40" s="157">
        <v>350</v>
      </c>
      <c r="M40" s="159"/>
      <c r="N40" s="155">
        <f>M40/L40</f>
        <v>0</v>
      </c>
      <c r="O40" s="159">
        <v>350</v>
      </c>
      <c r="P40" s="157"/>
      <c r="Q40" s="171">
        <f t="shared" si="14"/>
        <v>0</v>
      </c>
      <c r="R40" s="154">
        <v>350</v>
      </c>
      <c r="S40" s="157"/>
      <c r="T40" s="171">
        <f>S40/R40</f>
        <v>0</v>
      </c>
      <c r="U40" s="154">
        <v>350</v>
      </c>
      <c r="V40" s="154"/>
      <c r="W40" s="172">
        <f t="shared" si="16"/>
        <v>0</v>
      </c>
      <c r="X40" s="154">
        <v>350</v>
      </c>
      <c r="Y40" s="154"/>
      <c r="Z40" s="172">
        <f>Y40/X40</f>
        <v>0</v>
      </c>
      <c r="AA40" s="154">
        <f>350+20000</f>
        <v>20350</v>
      </c>
      <c r="AB40" s="154"/>
      <c r="AC40" s="172">
        <f>AB40/AA40</f>
        <v>0</v>
      </c>
      <c r="AD40" s="154">
        <f>350+1900+7500</f>
        <v>9750</v>
      </c>
      <c r="AE40" s="154"/>
      <c r="AF40" s="172">
        <f>AE40/AD40</f>
        <v>0</v>
      </c>
      <c r="AG40" s="154">
        <v>350</v>
      </c>
      <c r="AH40" s="154"/>
      <c r="AI40" s="154">
        <f>AH40/AG40</f>
        <v>0</v>
      </c>
      <c r="AJ40" s="154">
        <v>350</v>
      </c>
      <c r="AK40" s="154"/>
      <c r="AL40" s="154">
        <f>AK40/AJ40</f>
        <v>0</v>
      </c>
      <c r="AM40" s="173">
        <f t="shared" si="5"/>
        <v>45170</v>
      </c>
      <c r="AN40" s="154">
        <f t="shared" si="5"/>
        <v>12270</v>
      </c>
      <c r="AO40" s="155">
        <f>AN40/AM40</f>
        <v>0.27164046933805625</v>
      </c>
      <c r="AQ40" s="154">
        <v>33600</v>
      </c>
      <c r="AR40" s="154">
        <v>3222</v>
      </c>
      <c r="AS40" s="155">
        <v>9.5892857142857141E-2</v>
      </c>
      <c r="AT40" s="156">
        <f>AR40/10</f>
        <v>322.2</v>
      </c>
      <c r="AU40" s="156">
        <f t="shared" si="12"/>
        <v>2800</v>
      </c>
    </row>
    <row r="41" spans="1:48" s="141" customFormat="1" ht="12" thickBot="1" x14ac:dyDescent="0.25">
      <c r="A41" s="198" t="s">
        <v>119</v>
      </c>
      <c r="B41" s="154">
        <v>4384</v>
      </c>
      <c r="C41" s="154">
        <f>308*5</f>
        <v>1540</v>
      </c>
      <c r="D41" s="154">
        <v>0</v>
      </c>
      <c r="E41" s="155">
        <v>0</v>
      </c>
      <c r="F41" s="157">
        <v>0</v>
      </c>
      <c r="G41" s="159">
        <v>0</v>
      </c>
      <c r="H41" s="155"/>
      <c r="I41" s="157">
        <v>3500</v>
      </c>
      <c r="J41" s="158">
        <v>0</v>
      </c>
      <c r="K41" s="155">
        <f t="shared" si="13"/>
        <v>0</v>
      </c>
      <c r="L41" s="157"/>
      <c r="M41" s="159"/>
      <c r="N41" s="155"/>
      <c r="O41" s="159"/>
      <c r="P41" s="157"/>
      <c r="Q41" s="171"/>
      <c r="R41" s="154">
        <f>308*2</f>
        <v>616</v>
      </c>
      <c r="S41" s="157"/>
      <c r="T41" s="171">
        <f>S41/R41</f>
        <v>0</v>
      </c>
      <c r="U41" s="157"/>
      <c r="V41" s="157"/>
      <c r="W41" s="172"/>
      <c r="X41" s="157"/>
      <c r="Y41" s="157"/>
      <c r="Z41" s="172"/>
      <c r="AA41" s="157"/>
      <c r="AB41" s="157"/>
      <c r="AC41" s="155"/>
      <c r="AD41" s="157">
        <v>308</v>
      </c>
      <c r="AE41" s="157"/>
      <c r="AF41" s="155"/>
      <c r="AG41" s="157">
        <v>460</v>
      </c>
      <c r="AH41" s="154"/>
      <c r="AI41" s="154"/>
      <c r="AJ41" s="154"/>
      <c r="AK41" s="154"/>
      <c r="AL41" s="154"/>
      <c r="AM41" s="173">
        <f t="shared" si="5"/>
        <v>6424</v>
      </c>
      <c r="AN41" s="154">
        <f t="shared" si="5"/>
        <v>0</v>
      </c>
      <c r="AO41" s="155">
        <f>AN41/AM41</f>
        <v>0</v>
      </c>
      <c r="AQ41" s="154">
        <v>4240</v>
      </c>
      <c r="AR41" s="154">
        <v>914</v>
      </c>
      <c r="AS41" s="155">
        <v>0.21556603773584906</v>
      </c>
      <c r="AT41" s="156">
        <f>AR41/10</f>
        <v>91.4</v>
      </c>
      <c r="AU41" s="156">
        <f t="shared" si="12"/>
        <v>353.33333333333331</v>
      </c>
    </row>
    <row r="42" spans="1:48" s="141" customFormat="1" ht="12.6" thickBot="1" x14ac:dyDescent="0.3">
      <c r="A42" s="164"/>
      <c r="B42" s="165">
        <f t="shared" ref="B42:AM42" si="21">SUM(B26:B41)</f>
        <v>100379</v>
      </c>
      <c r="C42" s="165">
        <f t="shared" si="21"/>
        <v>76126.94</v>
      </c>
      <c r="D42" s="165">
        <f t="shared" si="21"/>
        <v>63785</v>
      </c>
      <c r="E42" s="190">
        <f>D42/C42</f>
        <v>0.83787684097114634</v>
      </c>
      <c r="F42" s="165">
        <f t="shared" si="21"/>
        <v>74499.94</v>
      </c>
      <c r="G42" s="165">
        <f t="shared" si="21"/>
        <v>63356</v>
      </c>
      <c r="H42" s="190">
        <f>G42/F42</f>
        <v>0.8504167922819803</v>
      </c>
      <c r="I42" s="165">
        <f t="shared" si="21"/>
        <v>72214.94</v>
      </c>
      <c r="J42" s="165">
        <f t="shared" si="21"/>
        <v>56140</v>
      </c>
      <c r="K42" s="190">
        <f>J42/I42</f>
        <v>0.77740146291058332</v>
      </c>
      <c r="L42" s="167">
        <f t="shared" si="21"/>
        <v>42108.3</v>
      </c>
      <c r="M42" s="168">
        <f t="shared" si="21"/>
        <v>0</v>
      </c>
      <c r="N42" s="165" t="e">
        <f t="shared" si="21"/>
        <v>#DIV/0!</v>
      </c>
      <c r="O42" s="165">
        <f t="shared" si="21"/>
        <v>42017.3</v>
      </c>
      <c r="P42" s="165">
        <f t="shared" si="21"/>
        <v>0</v>
      </c>
      <c r="Q42" s="165" t="e">
        <f t="shared" si="21"/>
        <v>#DIV/0!</v>
      </c>
      <c r="R42" s="165">
        <f t="shared" si="21"/>
        <v>42633.3</v>
      </c>
      <c r="S42" s="165">
        <f t="shared" si="21"/>
        <v>0</v>
      </c>
      <c r="T42" s="165" t="e">
        <f t="shared" si="21"/>
        <v>#DIV/0!</v>
      </c>
      <c r="U42" s="165">
        <f t="shared" si="21"/>
        <v>43714.94</v>
      </c>
      <c r="V42" s="165">
        <f t="shared" si="21"/>
        <v>0</v>
      </c>
      <c r="W42" s="165">
        <f t="shared" si="21"/>
        <v>0</v>
      </c>
      <c r="X42" s="165">
        <f t="shared" si="21"/>
        <v>68801.94</v>
      </c>
      <c r="Y42" s="165">
        <f t="shared" si="21"/>
        <v>0</v>
      </c>
      <c r="Z42" s="165">
        <f t="shared" si="21"/>
        <v>0</v>
      </c>
      <c r="AA42" s="165">
        <f t="shared" si="21"/>
        <v>88714.94</v>
      </c>
      <c r="AB42" s="165">
        <f t="shared" si="21"/>
        <v>0</v>
      </c>
      <c r="AC42" s="165">
        <f t="shared" si="21"/>
        <v>0</v>
      </c>
      <c r="AD42" s="165">
        <f t="shared" si="21"/>
        <v>78422.94</v>
      </c>
      <c r="AE42" s="165">
        <f t="shared" si="21"/>
        <v>0</v>
      </c>
      <c r="AF42" s="165">
        <f t="shared" si="21"/>
        <v>0</v>
      </c>
      <c r="AG42" s="165">
        <f t="shared" si="21"/>
        <v>69261.94</v>
      </c>
      <c r="AH42" s="165">
        <f t="shared" si="21"/>
        <v>0</v>
      </c>
      <c r="AI42" s="165">
        <f t="shared" si="21"/>
        <v>0</v>
      </c>
      <c r="AJ42" s="165">
        <f t="shared" si="21"/>
        <v>68714.94</v>
      </c>
      <c r="AK42" s="165">
        <f t="shared" si="21"/>
        <v>0</v>
      </c>
      <c r="AL42" s="165">
        <f t="shared" si="21"/>
        <v>0</v>
      </c>
      <c r="AM42" s="165">
        <f t="shared" si="21"/>
        <v>767232.36</v>
      </c>
      <c r="AN42" s="165">
        <f>SUM(AN26:AN41)</f>
        <v>183281</v>
      </c>
      <c r="AO42" s="165">
        <f>SUM(AO26:AO41)</f>
        <v>2.8909769112273174</v>
      </c>
      <c r="AQ42" s="165"/>
      <c r="AR42" s="165"/>
      <c r="AS42" s="166"/>
      <c r="AT42" s="156"/>
      <c r="AU42" s="156">
        <f t="shared" si="12"/>
        <v>0</v>
      </c>
    </row>
    <row r="43" spans="1:48" s="141" customFormat="1" ht="12.6" thickBot="1" x14ac:dyDescent="0.3">
      <c r="A43" s="200" t="s">
        <v>143</v>
      </c>
      <c r="B43" s="154"/>
      <c r="C43" s="176"/>
      <c r="D43" s="159"/>
      <c r="E43" s="155"/>
      <c r="F43" s="176"/>
      <c r="G43" s="159"/>
      <c r="H43" s="155"/>
      <c r="I43" s="157"/>
      <c r="J43" s="158"/>
      <c r="K43" s="155"/>
      <c r="L43" s="157"/>
      <c r="M43" s="159"/>
      <c r="N43" s="155"/>
      <c r="O43" s="159"/>
      <c r="P43" s="157"/>
      <c r="Q43" s="171"/>
      <c r="R43" s="154"/>
      <c r="S43" s="157"/>
      <c r="T43" s="171"/>
      <c r="U43" s="157"/>
      <c r="V43" s="157"/>
      <c r="W43" s="172"/>
      <c r="X43" s="157"/>
      <c r="Y43" s="157"/>
      <c r="Z43" s="172"/>
      <c r="AA43" s="157"/>
      <c r="AB43" s="157"/>
      <c r="AC43" s="155"/>
      <c r="AD43" s="157"/>
      <c r="AE43" s="157"/>
      <c r="AF43" s="155"/>
      <c r="AG43" s="157"/>
      <c r="AH43" s="154"/>
      <c r="AI43" s="154"/>
      <c r="AJ43" s="154"/>
      <c r="AK43" s="154"/>
      <c r="AL43" s="154"/>
      <c r="AM43" s="173">
        <f t="shared" si="5"/>
        <v>0</v>
      </c>
      <c r="AN43" s="154">
        <f t="shared" si="5"/>
        <v>0</v>
      </c>
      <c r="AO43" s="155">
        <v>0</v>
      </c>
      <c r="AQ43" s="154">
        <v>0</v>
      </c>
      <c r="AR43" s="154">
        <v>0</v>
      </c>
      <c r="AS43" s="155">
        <v>0</v>
      </c>
      <c r="AT43" s="156">
        <f t="shared" si="1"/>
        <v>0</v>
      </c>
      <c r="AU43" s="156">
        <f t="shared" si="12"/>
        <v>0</v>
      </c>
    </row>
    <row r="44" spans="1:48" s="141" customFormat="1" ht="11.4" x14ac:dyDescent="0.2">
      <c r="A44" s="198" t="s">
        <v>79</v>
      </c>
      <c r="B44" s="154">
        <v>4889</v>
      </c>
      <c r="C44" s="157"/>
      <c r="D44" s="159">
        <v>1380</v>
      </c>
      <c r="E44" s="174"/>
      <c r="F44" s="157"/>
      <c r="G44" s="159"/>
      <c r="H44" s="155"/>
      <c r="I44" s="157"/>
      <c r="J44" s="159"/>
      <c r="K44" s="155"/>
      <c r="L44" s="229"/>
      <c r="M44" s="159"/>
      <c r="N44" s="155"/>
      <c r="O44" s="229"/>
      <c r="P44" s="159"/>
      <c r="Q44" s="155"/>
      <c r="R44" s="229"/>
      <c r="S44" s="159"/>
      <c r="T44" s="155"/>
      <c r="U44" s="157"/>
      <c r="V44" s="159"/>
      <c r="W44" s="155"/>
      <c r="X44" s="157"/>
      <c r="Y44" s="159"/>
      <c r="Z44" s="155"/>
      <c r="AA44" s="157">
        <f>B44*1.1</f>
        <v>5377.9000000000005</v>
      </c>
      <c r="AB44" s="159"/>
      <c r="AC44" s="155">
        <f t="shared" si="17"/>
        <v>0</v>
      </c>
      <c r="AD44" s="157"/>
      <c r="AE44" s="159"/>
      <c r="AF44" s="155"/>
      <c r="AG44" s="157"/>
      <c r="AH44" s="159"/>
      <c r="AI44" s="155"/>
      <c r="AJ44" s="157"/>
      <c r="AK44" s="159"/>
      <c r="AL44" s="155"/>
      <c r="AM44" s="173">
        <f t="shared" si="5"/>
        <v>5377.9000000000005</v>
      </c>
      <c r="AN44" s="154">
        <f t="shared" si="5"/>
        <v>1380</v>
      </c>
      <c r="AO44" s="155">
        <f t="shared" si="6"/>
        <v>0.25660573829933614</v>
      </c>
      <c r="AQ44" s="154">
        <v>4500</v>
      </c>
      <c r="AR44" s="154">
        <v>4889</v>
      </c>
      <c r="AS44" s="174">
        <v>1.0864444444444445</v>
      </c>
      <c r="AT44" s="156">
        <f t="shared" si="1"/>
        <v>488.9</v>
      </c>
      <c r="AU44" s="156">
        <f t="shared" si="12"/>
        <v>375</v>
      </c>
    </row>
    <row r="45" spans="1:48" s="141" customFormat="1" ht="11.4" x14ac:dyDescent="0.2">
      <c r="A45" s="198" t="s">
        <v>80</v>
      </c>
      <c r="B45" s="154">
        <v>2173</v>
      </c>
      <c r="C45" s="157"/>
      <c r="D45" s="222"/>
      <c r="E45" s="174"/>
      <c r="F45" s="157"/>
      <c r="G45" s="159"/>
      <c r="H45" s="155"/>
      <c r="I45" s="157"/>
      <c r="J45" s="159"/>
      <c r="K45" s="155"/>
      <c r="L45" s="157">
        <f>1575+10800</f>
        <v>12375</v>
      </c>
      <c r="M45" s="159"/>
      <c r="N45" s="155">
        <f>M45/L45</f>
        <v>0</v>
      </c>
      <c r="O45" s="229"/>
      <c r="P45" s="159"/>
      <c r="Q45" s="155"/>
      <c r="R45" s="229"/>
      <c r="S45" s="159"/>
      <c r="T45" s="155"/>
      <c r="U45" s="157">
        <f>14046/2</f>
        <v>7023</v>
      </c>
      <c r="V45" s="159"/>
      <c r="W45" s="155"/>
      <c r="X45" s="157">
        <f>1575+10800</f>
        <v>12375</v>
      </c>
      <c r="Y45" s="159"/>
      <c r="Z45" s="155">
        <f t="shared" si="11"/>
        <v>0</v>
      </c>
      <c r="AA45" s="157"/>
      <c r="AB45" s="159"/>
      <c r="AC45" s="155"/>
      <c r="AD45" s="157"/>
      <c r="AE45" s="159"/>
      <c r="AF45" s="155"/>
      <c r="AG45" s="157"/>
      <c r="AH45" s="159"/>
      <c r="AI45" s="155"/>
      <c r="AJ45" s="157">
        <f>1575+5000+10800</f>
        <v>17375</v>
      </c>
      <c r="AK45" s="159"/>
      <c r="AL45" s="155"/>
      <c r="AM45" s="173">
        <f>C45+F45+I45+L45+O45+R45+U45+X45+AA45+AD45+AG45+AJ45</f>
        <v>49148</v>
      </c>
      <c r="AN45" s="154">
        <f t="shared" si="5"/>
        <v>0</v>
      </c>
      <c r="AO45" s="155">
        <f t="shared" si="6"/>
        <v>0</v>
      </c>
      <c r="AQ45" s="154">
        <v>23546</v>
      </c>
      <c r="AR45" s="154">
        <v>2670</v>
      </c>
      <c r="AS45" s="174">
        <v>0.11339505648517795</v>
      </c>
      <c r="AT45" s="156">
        <f t="shared" si="1"/>
        <v>267</v>
      </c>
      <c r="AU45" s="156">
        <f t="shared" si="12"/>
        <v>1962.1666666666667</v>
      </c>
    </row>
    <row r="46" spans="1:48" s="141" customFormat="1" ht="11.4" x14ac:dyDescent="0.2">
      <c r="A46" s="198" t="s">
        <v>81</v>
      </c>
      <c r="B46" s="154">
        <v>2932</v>
      </c>
      <c r="C46" s="157">
        <f>B46*1.4</f>
        <v>4104.8</v>
      </c>
      <c r="D46" s="159">
        <v>969</v>
      </c>
      <c r="E46" s="174">
        <f t="shared" si="8"/>
        <v>0.2360650945234847</v>
      </c>
      <c r="F46" s="157">
        <f>$C$46</f>
        <v>4104.8</v>
      </c>
      <c r="G46" s="159">
        <v>2470</v>
      </c>
      <c r="H46" s="155">
        <f t="shared" si="4"/>
        <v>0.60173455466770609</v>
      </c>
      <c r="I46" s="157">
        <f>$C$46</f>
        <v>4104.8</v>
      </c>
      <c r="J46" s="159">
        <v>20908</v>
      </c>
      <c r="K46" s="155">
        <f>J46/I46</f>
        <v>5.0935490157863965</v>
      </c>
      <c r="L46" s="229">
        <v>2000</v>
      </c>
      <c r="M46" s="159"/>
      <c r="N46" s="155">
        <f>M46/L46</f>
        <v>0</v>
      </c>
      <c r="O46" s="229">
        <v>2000</v>
      </c>
      <c r="P46" s="159"/>
      <c r="Q46" s="155">
        <f>P46/O46</f>
        <v>0</v>
      </c>
      <c r="R46" s="229">
        <v>2000</v>
      </c>
      <c r="S46" s="159"/>
      <c r="T46" s="155">
        <f>S46/R46</f>
        <v>0</v>
      </c>
      <c r="U46" s="157">
        <f>$C$46</f>
        <v>4104.8</v>
      </c>
      <c r="V46" s="159"/>
      <c r="W46" s="155">
        <f>V46/U46</f>
        <v>0</v>
      </c>
      <c r="X46" s="157">
        <f>$C$46</f>
        <v>4104.8</v>
      </c>
      <c r="Y46" s="159"/>
      <c r="Z46" s="155">
        <f t="shared" si="11"/>
        <v>0</v>
      </c>
      <c r="AA46" s="157">
        <f>$C$46</f>
        <v>4104.8</v>
      </c>
      <c r="AB46" s="159"/>
      <c r="AC46" s="155">
        <f>AB46/AA46</f>
        <v>0</v>
      </c>
      <c r="AD46" s="157">
        <f>$C$46</f>
        <v>4104.8</v>
      </c>
      <c r="AE46" s="159"/>
      <c r="AF46" s="155">
        <f>AE46/AD46</f>
        <v>0</v>
      </c>
      <c r="AG46" s="157">
        <f>$C$46</f>
        <v>4104.8</v>
      </c>
      <c r="AH46" s="159"/>
      <c r="AI46" s="155">
        <f>AH46/AG46</f>
        <v>0</v>
      </c>
      <c r="AJ46" s="157">
        <f>$C$46</f>
        <v>4104.8</v>
      </c>
      <c r="AK46" s="159"/>
      <c r="AL46" s="155">
        <f>AK46/AJ46</f>
        <v>0</v>
      </c>
      <c r="AM46" s="173">
        <f t="shared" si="5"/>
        <v>42943.200000000004</v>
      </c>
      <c r="AN46" s="154">
        <f t="shared" si="5"/>
        <v>24347</v>
      </c>
      <c r="AO46" s="155">
        <f t="shared" si="6"/>
        <v>0.5669582145718064</v>
      </c>
      <c r="AQ46" s="154">
        <v>12000</v>
      </c>
      <c r="AR46" s="154">
        <v>29323</v>
      </c>
      <c r="AS46" s="174">
        <v>2.4435833333333332</v>
      </c>
      <c r="AT46" s="156">
        <f t="shared" si="1"/>
        <v>2932.3</v>
      </c>
      <c r="AU46" s="156">
        <f t="shared" si="12"/>
        <v>1000</v>
      </c>
    </row>
    <row r="47" spans="1:48" s="141" customFormat="1" ht="11.4" x14ac:dyDescent="0.2">
      <c r="A47" s="198" t="s">
        <v>120</v>
      </c>
      <c r="B47" s="154">
        <v>200</v>
      </c>
      <c r="C47" s="157">
        <f>200*1.04</f>
        <v>208</v>
      </c>
      <c r="D47" s="159"/>
      <c r="E47" s="155">
        <f t="shared" si="8"/>
        <v>0</v>
      </c>
      <c r="F47" s="157">
        <v>1500</v>
      </c>
      <c r="G47" s="159">
        <v>300</v>
      </c>
      <c r="H47" s="155">
        <f t="shared" si="4"/>
        <v>0.2</v>
      </c>
      <c r="I47" s="157">
        <f>$C$47+3800</f>
        <v>4008</v>
      </c>
      <c r="J47" s="159">
        <v>0</v>
      </c>
      <c r="K47" s="155">
        <f>J47/I47</f>
        <v>0</v>
      </c>
      <c r="L47" s="157">
        <f>$C$47</f>
        <v>208</v>
      </c>
      <c r="M47" s="159"/>
      <c r="N47" s="155">
        <f>M47/L47</f>
        <v>0</v>
      </c>
      <c r="O47" s="157">
        <f>$C$47</f>
        <v>208</v>
      </c>
      <c r="P47" s="159"/>
      <c r="Q47" s="155">
        <f>P47/O47</f>
        <v>0</v>
      </c>
      <c r="R47" s="157">
        <f>$C$47</f>
        <v>208</v>
      </c>
      <c r="S47" s="159"/>
      <c r="T47" s="155">
        <f>S47/R47</f>
        <v>0</v>
      </c>
      <c r="U47" s="157">
        <f>$C$47</f>
        <v>208</v>
      </c>
      <c r="V47" s="159"/>
      <c r="W47" s="155">
        <f>V47/U47</f>
        <v>0</v>
      </c>
      <c r="X47" s="157">
        <f>$C$47</f>
        <v>208</v>
      </c>
      <c r="Y47" s="159"/>
      <c r="Z47" s="155">
        <f t="shared" si="11"/>
        <v>0</v>
      </c>
      <c r="AA47" s="157">
        <f>$C$47</f>
        <v>208</v>
      </c>
      <c r="AB47" s="159"/>
      <c r="AC47" s="155">
        <f>AB47/AA47</f>
        <v>0</v>
      </c>
      <c r="AD47" s="157">
        <f>$C$47</f>
        <v>208</v>
      </c>
      <c r="AE47" s="159"/>
      <c r="AF47" s="155">
        <f>AE47/AD47</f>
        <v>0</v>
      </c>
      <c r="AG47" s="157">
        <f>$C$47</f>
        <v>208</v>
      </c>
      <c r="AH47" s="159"/>
      <c r="AI47" s="155">
        <f>AH47/AG47</f>
        <v>0</v>
      </c>
      <c r="AJ47" s="157">
        <f>$C$47</f>
        <v>208</v>
      </c>
      <c r="AK47" s="159"/>
      <c r="AL47" s="155">
        <f>AK47/AJ47</f>
        <v>0</v>
      </c>
      <c r="AM47" s="173">
        <f>C47+F47+I47+O47+R47+U47+X47+AA47+AD47+AG47+AJ47</f>
        <v>7380</v>
      </c>
      <c r="AN47" s="154">
        <f t="shared" si="5"/>
        <v>300</v>
      </c>
      <c r="AO47" s="155">
        <f t="shared" si="6"/>
        <v>4.065040650406504E-2</v>
      </c>
      <c r="AQ47" s="154">
        <v>10200</v>
      </c>
      <c r="AR47" s="154">
        <v>4600</v>
      </c>
      <c r="AS47" s="155">
        <v>0.45098039215686275</v>
      </c>
      <c r="AT47" s="156">
        <f t="shared" si="1"/>
        <v>460</v>
      </c>
      <c r="AU47" s="156">
        <f t="shared" si="12"/>
        <v>850</v>
      </c>
    </row>
    <row r="48" spans="1:48" s="141" customFormat="1" ht="11.4" x14ac:dyDescent="0.2">
      <c r="A48" s="198" t="s">
        <v>83</v>
      </c>
      <c r="B48" s="157">
        <v>775</v>
      </c>
      <c r="C48" s="157"/>
      <c r="D48" s="159"/>
      <c r="E48" s="155"/>
      <c r="F48" s="157"/>
      <c r="G48" s="159"/>
      <c r="H48" s="155"/>
      <c r="I48" s="157"/>
      <c r="J48" s="158"/>
      <c r="K48" s="155"/>
      <c r="L48" s="157">
        <v>775</v>
      </c>
      <c r="M48" s="159"/>
      <c r="N48" s="155">
        <f t="shared" si="10"/>
        <v>0</v>
      </c>
      <c r="O48" s="159"/>
      <c r="P48" s="157"/>
      <c r="Q48" s="171"/>
      <c r="R48" s="157"/>
      <c r="S48" s="157"/>
      <c r="T48" s="171"/>
      <c r="U48" s="157"/>
      <c r="V48" s="157"/>
      <c r="W48" s="172"/>
      <c r="X48" s="157">
        <v>775</v>
      </c>
      <c r="Y48" s="157"/>
      <c r="Z48" s="172">
        <f t="shared" si="11"/>
        <v>0</v>
      </c>
      <c r="AA48" s="157"/>
      <c r="AB48" s="157"/>
      <c r="AC48" s="155"/>
      <c r="AD48" s="157"/>
      <c r="AE48" s="157"/>
      <c r="AF48" s="155"/>
      <c r="AG48" s="157"/>
      <c r="AH48" s="154"/>
      <c r="AI48" s="154"/>
      <c r="AJ48" s="154">
        <v>775</v>
      </c>
      <c r="AK48" s="154"/>
      <c r="AL48" s="154"/>
      <c r="AM48" s="173">
        <f>C48+F48+I48+L48+O48+U48+X48+AA48+AD48+AG48+AJ48</f>
        <v>2325</v>
      </c>
      <c r="AN48" s="154">
        <f t="shared" si="5"/>
        <v>0</v>
      </c>
      <c r="AO48" s="155">
        <f t="shared" si="6"/>
        <v>0</v>
      </c>
      <c r="AQ48" s="154">
        <v>2325</v>
      </c>
      <c r="AR48" s="154">
        <v>1546</v>
      </c>
      <c r="AS48" s="155">
        <v>0.66494623655913976</v>
      </c>
      <c r="AT48" s="156">
        <f t="shared" si="1"/>
        <v>154.6</v>
      </c>
      <c r="AU48" s="156">
        <f t="shared" si="12"/>
        <v>193.75</v>
      </c>
    </row>
    <row r="49" spans="1:47" s="141" customFormat="1" ht="11.4" x14ac:dyDescent="0.2">
      <c r="A49" s="198" t="s">
        <v>84</v>
      </c>
      <c r="B49" s="154">
        <v>100</v>
      </c>
      <c r="C49" s="157">
        <v>100</v>
      </c>
      <c r="D49" s="159"/>
      <c r="E49" s="155">
        <f t="shared" si="8"/>
        <v>0</v>
      </c>
      <c r="F49" s="157">
        <v>100</v>
      </c>
      <c r="G49" s="159">
        <v>0</v>
      </c>
      <c r="H49" s="155">
        <f t="shared" si="4"/>
        <v>0</v>
      </c>
      <c r="I49" s="157">
        <v>100</v>
      </c>
      <c r="J49" s="158">
        <v>0</v>
      </c>
      <c r="K49" s="155">
        <f>J49/I49</f>
        <v>0</v>
      </c>
      <c r="L49" s="157">
        <v>100</v>
      </c>
      <c r="M49" s="159"/>
      <c r="N49" s="155">
        <f t="shared" si="10"/>
        <v>0</v>
      </c>
      <c r="O49" s="159">
        <v>100</v>
      </c>
      <c r="P49" s="157"/>
      <c r="Q49" s="171">
        <f>P49/O49</f>
        <v>0</v>
      </c>
      <c r="R49" s="154">
        <v>100</v>
      </c>
      <c r="S49" s="157"/>
      <c r="T49" s="171">
        <f t="shared" si="15"/>
        <v>0</v>
      </c>
      <c r="U49" s="154">
        <v>100</v>
      </c>
      <c r="V49" s="154"/>
      <c r="W49" s="172">
        <f>V49/U49</f>
        <v>0</v>
      </c>
      <c r="X49" s="154">
        <v>100</v>
      </c>
      <c r="Y49" s="154"/>
      <c r="Z49" s="172">
        <f t="shared" si="11"/>
        <v>0</v>
      </c>
      <c r="AA49" s="154">
        <v>100</v>
      </c>
      <c r="AB49" s="154"/>
      <c r="AC49" s="172">
        <f t="shared" si="17"/>
        <v>0</v>
      </c>
      <c r="AD49" s="154">
        <v>100</v>
      </c>
      <c r="AE49" s="154"/>
      <c r="AF49" s="172">
        <f t="shared" si="18"/>
        <v>0</v>
      </c>
      <c r="AG49" s="154">
        <v>100</v>
      </c>
      <c r="AH49" s="154"/>
      <c r="AI49" s="154">
        <f t="shared" si="19"/>
        <v>0</v>
      </c>
      <c r="AJ49" s="154">
        <v>100</v>
      </c>
      <c r="AK49" s="154"/>
      <c r="AL49" s="154">
        <f t="shared" si="20"/>
        <v>0</v>
      </c>
      <c r="AM49" s="173">
        <f t="shared" si="5"/>
        <v>1200</v>
      </c>
      <c r="AN49" s="154">
        <f t="shared" si="5"/>
        <v>0</v>
      </c>
      <c r="AO49" s="155">
        <f t="shared" si="6"/>
        <v>0</v>
      </c>
      <c r="AQ49" s="154">
        <v>1200</v>
      </c>
      <c r="AR49" s="154">
        <v>150</v>
      </c>
      <c r="AS49" s="155">
        <v>0.125</v>
      </c>
      <c r="AT49" s="156">
        <f t="shared" si="1"/>
        <v>15</v>
      </c>
      <c r="AU49" s="156">
        <f t="shared" si="12"/>
        <v>100</v>
      </c>
    </row>
    <row r="50" spans="1:47" s="141" customFormat="1" ht="12" thickBot="1" x14ac:dyDescent="0.25">
      <c r="A50" s="198" t="s">
        <v>85</v>
      </c>
      <c r="B50" s="157">
        <v>2000</v>
      </c>
      <c r="C50" s="175"/>
      <c r="D50" s="159"/>
      <c r="E50" s="155"/>
      <c r="F50" s="175">
        <v>3000</v>
      </c>
      <c r="G50" s="159">
        <v>0</v>
      </c>
      <c r="H50" s="155">
        <f t="shared" si="4"/>
        <v>0</v>
      </c>
      <c r="I50" s="157"/>
      <c r="J50" s="158"/>
      <c r="K50" s="155"/>
      <c r="L50" s="175"/>
      <c r="M50" s="159"/>
      <c r="N50" s="155"/>
      <c r="O50" s="159"/>
      <c r="P50" s="157"/>
      <c r="Q50" s="171">
        <f>P50/F50</f>
        <v>0</v>
      </c>
      <c r="R50" s="154"/>
      <c r="S50" s="157"/>
      <c r="T50" s="171"/>
      <c r="U50" s="157"/>
      <c r="V50" s="154"/>
      <c r="W50" s="172"/>
      <c r="X50" s="154"/>
      <c r="Y50" s="154"/>
      <c r="Z50" s="172"/>
      <c r="AA50" s="157"/>
      <c r="AB50" s="157"/>
      <c r="AC50" s="155"/>
      <c r="AD50" s="157"/>
      <c r="AE50" s="157"/>
      <c r="AF50" s="155"/>
      <c r="AG50" s="157"/>
      <c r="AH50" s="154"/>
      <c r="AI50" s="154"/>
      <c r="AJ50" s="154"/>
      <c r="AK50" s="154"/>
      <c r="AL50" s="154"/>
      <c r="AM50" s="173">
        <f t="shared" si="5"/>
        <v>3000</v>
      </c>
      <c r="AN50" s="154">
        <f t="shared" si="5"/>
        <v>0</v>
      </c>
      <c r="AO50" s="155">
        <f t="shared" si="6"/>
        <v>0</v>
      </c>
      <c r="AQ50" s="154">
        <v>2000</v>
      </c>
      <c r="AR50" s="154">
        <v>1230</v>
      </c>
      <c r="AS50" s="155">
        <v>0.61499999999999999</v>
      </c>
      <c r="AT50" s="156">
        <f t="shared" si="1"/>
        <v>123</v>
      </c>
      <c r="AU50" s="156">
        <f t="shared" si="12"/>
        <v>166.66666666666666</v>
      </c>
    </row>
    <row r="51" spans="1:47" s="141" customFormat="1" ht="12.6" thickBot="1" x14ac:dyDescent="0.3">
      <c r="A51" s="164"/>
      <c r="B51" s="165">
        <f>SUM(B44:B50)</f>
        <v>13069</v>
      </c>
      <c r="C51" s="165">
        <f>SUM(C44:C50)</f>
        <v>4412.8</v>
      </c>
      <c r="D51" s="165">
        <f t="shared" ref="D51:AO51" si="22">SUM(D44:D50)</f>
        <v>2349</v>
      </c>
      <c r="E51" s="190">
        <f>D51/C51</f>
        <v>0.53231508339376354</v>
      </c>
      <c r="F51" s="165">
        <f>SUM(F44:F50)</f>
        <v>8704.7999999999993</v>
      </c>
      <c r="G51" s="165">
        <f t="shared" si="22"/>
        <v>2770</v>
      </c>
      <c r="H51" s="190">
        <f>G51/F51</f>
        <v>0.3182152375700763</v>
      </c>
      <c r="I51" s="167">
        <f t="shared" si="22"/>
        <v>8212.7999999999993</v>
      </c>
      <c r="J51" s="168">
        <f t="shared" si="22"/>
        <v>20908</v>
      </c>
      <c r="K51" s="190">
        <f>J51/I51</f>
        <v>2.5457821936489387</v>
      </c>
      <c r="L51" s="165">
        <f t="shared" si="22"/>
        <v>15458</v>
      </c>
      <c r="M51" s="165">
        <f t="shared" si="22"/>
        <v>0</v>
      </c>
      <c r="N51" s="165">
        <f t="shared" si="22"/>
        <v>0</v>
      </c>
      <c r="O51" s="165">
        <f t="shared" si="22"/>
        <v>2308</v>
      </c>
      <c r="P51" s="165">
        <f t="shared" si="22"/>
        <v>0</v>
      </c>
      <c r="Q51" s="165">
        <f t="shared" si="22"/>
        <v>0</v>
      </c>
      <c r="R51" s="165">
        <f t="shared" si="22"/>
        <v>2308</v>
      </c>
      <c r="S51" s="165">
        <f t="shared" si="22"/>
        <v>0</v>
      </c>
      <c r="T51" s="165">
        <f t="shared" si="22"/>
        <v>0</v>
      </c>
      <c r="U51" s="165">
        <f t="shared" si="22"/>
        <v>11435.8</v>
      </c>
      <c r="V51" s="165">
        <f t="shared" si="22"/>
        <v>0</v>
      </c>
      <c r="W51" s="165">
        <f t="shared" si="22"/>
        <v>0</v>
      </c>
      <c r="X51" s="165">
        <f t="shared" si="22"/>
        <v>17562.8</v>
      </c>
      <c r="Y51" s="165">
        <f t="shared" si="22"/>
        <v>0</v>
      </c>
      <c r="Z51" s="165">
        <f t="shared" si="22"/>
        <v>0</v>
      </c>
      <c r="AA51" s="165">
        <f t="shared" si="22"/>
        <v>9790.7000000000007</v>
      </c>
      <c r="AB51" s="165">
        <f t="shared" si="22"/>
        <v>0</v>
      </c>
      <c r="AC51" s="165">
        <f t="shared" si="22"/>
        <v>0</v>
      </c>
      <c r="AD51" s="165">
        <f t="shared" si="22"/>
        <v>4412.8</v>
      </c>
      <c r="AE51" s="165">
        <f t="shared" si="22"/>
        <v>0</v>
      </c>
      <c r="AF51" s="165">
        <f t="shared" si="22"/>
        <v>0</v>
      </c>
      <c r="AG51" s="165">
        <f t="shared" si="22"/>
        <v>4412.8</v>
      </c>
      <c r="AH51" s="165">
        <f t="shared" si="22"/>
        <v>0</v>
      </c>
      <c r="AI51" s="165">
        <f t="shared" si="22"/>
        <v>0</v>
      </c>
      <c r="AJ51" s="165">
        <f t="shared" si="22"/>
        <v>22562.799999999999</v>
      </c>
      <c r="AK51" s="165">
        <f t="shared" si="22"/>
        <v>0</v>
      </c>
      <c r="AL51" s="165">
        <f t="shared" si="22"/>
        <v>0</v>
      </c>
      <c r="AM51" s="165">
        <f t="shared" si="22"/>
        <v>111374.1</v>
      </c>
      <c r="AN51" s="165">
        <f t="shared" si="22"/>
        <v>26027</v>
      </c>
      <c r="AO51" s="165">
        <f t="shared" si="22"/>
        <v>0.86421435937520752</v>
      </c>
      <c r="AQ51" s="165"/>
      <c r="AR51" s="165"/>
      <c r="AS51" s="166"/>
      <c r="AT51" s="156"/>
      <c r="AU51" s="156">
        <f t="shared" si="12"/>
        <v>0</v>
      </c>
    </row>
    <row r="52" spans="1:47" s="141" customFormat="1" ht="12.6" thickBot="1" x14ac:dyDescent="0.3">
      <c r="A52" s="200" t="s">
        <v>144</v>
      </c>
      <c r="B52" s="154"/>
      <c r="C52" s="154"/>
      <c r="D52" s="154"/>
      <c r="E52" s="155"/>
      <c r="F52" s="157"/>
      <c r="G52" s="159"/>
      <c r="H52" s="155"/>
      <c r="I52" s="157"/>
      <c r="J52" s="158"/>
      <c r="K52" s="155"/>
      <c r="L52" s="157"/>
      <c r="M52" s="159"/>
      <c r="N52" s="155"/>
      <c r="O52" s="159"/>
      <c r="P52" s="157"/>
      <c r="Q52" s="171"/>
      <c r="R52" s="154"/>
      <c r="S52" s="157"/>
      <c r="T52" s="171"/>
      <c r="U52" s="157"/>
      <c r="V52" s="157"/>
      <c r="W52" s="172"/>
      <c r="X52" s="157"/>
      <c r="Y52" s="157"/>
      <c r="Z52" s="172"/>
      <c r="AA52" s="157"/>
      <c r="AB52" s="154"/>
      <c r="AC52" s="155"/>
      <c r="AD52" s="157"/>
      <c r="AE52" s="157"/>
      <c r="AF52" s="155"/>
      <c r="AG52" s="157"/>
      <c r="AH52" s="154"/>
      <c r="AI52" s="154"/>
      <c r="AJ52" s="154"/>
      <c r="AK52" s="154"/>
      <c r="AL52" s="154"/>
      <c r="AM52" s="154"/>
      <c r="AN52" s="154">
        <f t="shared" si="5"/>
        <v>0</v>
      </c>
      <c r="AO52" s="155">
        <v>0</v>
      </c>
      <c r="AQ52" s="154"/>
      <c r="AR52" s="154">
        <v>0</v>
      </c>
      <c r="AS52" s="155">
        <v>0</v>
      </c>
      <c r="AT52" s="156">
        <f t="shared" si="1"/>
        <v>0</v>
      </c>
      <c r="AU52" s="156">
        <f t="shared" si="12"/>
        <v>0</v>
      </c>
    </row>
    <row r="53" spans="1:47" s="141" customFormat="1" ht="11.4" x14ac:dyDescent="0.2">
      <c r="A53" s="198" t="s">
        <v>121</v>
      </c>
      <c r="B53" s="154">
        <v>150</v>
      </c>
      <c r="C53" s="154">
        <v>150</v>
      </c>
      <c r="D53" s="154">
        <v>0</v>
      </c>
      <c r="E53" s="155">
        <f t="shared" si="8"/>
        <v>0</v>
      </c>
      <c r="F53" s="154">
        <f>C53</f>
        <v>150</v>
      </c>
      <c r="G53" s="154">
        <v>0</v>
      </c>
      <c r="H53" s="155">
        <f t="shared" si="4"/>
        <v>0</v>
      </c>
      <c r="I53" s="157">
        <v>150</v>
      </c>
      <c r="J53" s="158">
        <v>0</v>
      </c>
      <c r="K53" s="155">
        <f>J53/I53</f>
        <v>0</v>
      </c>
      <c r="L53" s="229">
        <v>0</v>
      </c>
      <c r="M53" s="159"/>
      <c r="N53" s="155" t="e">
        <f t="shared" si="10"/>
        <v>#DIV/0!</v>
      </c>
      <c r="O53" s="229">
        <v>0</v>
      </c>
      <c r="P53" s="157"/>
      <c r="Q53" s="171" t="e">
        <f>P53/O53</f>
        <v>#DIV/0!</v>
      </c>
      <c r="R53" s="181">
        <v>0</v>
      </c>
      <c r="S53" s="157"/>
      <c r="T53" s="171" t="e">
        <f t="shared" si="15"/>
        <v>#DIV/0!</v>
      </c>
      <c r="U53" s="154">
        <v>150</v>
      </c>
      <c r="V53" s="154"/>
      <c r="W53" s="172">
        <f>V53/U53</f>
        <v>0</v>
      </c>
      <c r="X53" s="154">
        <v>150</v>
      </c>
      <c r="Y53" s="154"/>
      <c r="Z53" s="172">
        <f t="shared" si="11"/>
        <v>0</v>
      </c>
      <c r="AA53" s="154">
        <v>150</v>
      </c>
      <c r="AB53" s="154"/>
      <c r="AC53" s="172">
        <f t="shared" si="17"/>
        <v>0</v>
      </c>
      <c r="AD53" s="154">
        <v>150</v>
      </c>
      <c r="AE53" s="154"/>
      <c r="AF53" s="172">
        <f t="shared" si="18"/>
        <v>0</v>
      </c>
      <c r="AG53" s="154">
        <v>150</v>
      </c>
      <c r="AH53" s="154"/>
      <c r="AI53" s="154">
        <f t="shared" si="19"/>
        <v>0</v>
      </c>
      <c r="AJ53" s="154">
        <f>1250</f>
        <v>1250</v>
      </c>
      <c r="AK53" s="154"/>
      <c r="AL53" s="154">
        <f t="shared" si="20"/>
        <v>0</v>
      </c>
      <c r="AM53" s="173">
        <f t="shared" si="5"/>
        <v>2450</v>
      </c>
      <c r="AN53" s="154">
        <f t="shared" si="5"/>
        <v>0</v>
      </c>
      <c r="AO53" s="155">
        <f t="shared" si="6"/>
        <v>0</v>
      </c>
      <c r="AQ53" s="154">
        <v>3000</v>
      </c>
      <c r="AR53" s="154">
        <v>0</v>
      </c>
      <c r="AS53" s="155">
        <v>0</v>
      </c>
      <c r="AT53" s="156">
        <f t="shared" si="1"/>
        <v>0</v>
      </c>
      <c r="AU53" s="156">
        <f t="shared" si="12"/>
        <v>250</v>
      </c>
    </row>
    <row r="54" spans="1:47" s="141" customFormat="1" ht="11.4" x14ac:dyDescent="0.2">
      <c r="A54" s="198" t="s">
        <v>150</v>
      </c>
      <c r="B54" s="154">
        <v>100</v>
      </c>
      <c r="C54" s="154">
        <v>100</v>
      </c>
      <c r="D54" s="154"/>
      <c r="E54" s="155"/>
      <c r="F54" s="154">
        <v>100</v>
      </c>
      <c r="G54" s="154">
        <v>0</v>
      </c>
      <c r="H54" s="155"/>
      <c r="I54" s="154">
        <v>100</v>
      </c>
      <c r="J54" s="159">
        <v>0</v>
      </c>
      <c r="K54" s="172"/>
      <c r="L54" s="181">
        <v>0</v>
      </c>
      <c r="M54" s="159"/>
      <c r="N54" s="155"/>
      <c r="O54" s="181">
        <v>0</v>
      </c>
      <c r="P54" s="157"/>
      <c r="Q54" s="171"/>
      <c r="R54" s="181">
        <v>0</v>
      </c>
      <c r="S54" s="157"/>
      <c r="T54" s="171"/>
      <c r="U54" s="154">
        <v>100</v>
      </c>
      <c r="V54" s="154"/>
      <c r="W54" s="172"/>
      <c r="X54" s="154">
        <v>100</v>
      </c>
      <c r="Y54" s="154"/>
      <c r="Z54" s="172"/>
      <c r="AA54" s="154">
        <v>100</v>
      </c>
      <c r="AB54" s="154"/>
      <c r="AC54" s="172"/>
      <c r="AD54" s="154">
        <v>100</v>
      </c>
      <c r="AE54" s="154"/>
      <c r="AF54" s="172"/>
      <c r="AG54" s="154">
        <v>100</v>
      </c>
      <c r="AH54" s="154"/>
      <c r="AI54" s="154"/>
      <c r="AJ54" s="154">
        <v>100</v>
      </c>
      <c r="AK54" s="154"/>
      <c r="AL54" s="154"/>
      <c r="AM54" s="173">
        <f t="shared" si="5"/>
        <v>900</v>
      </c>
      <c r="AN54" s="154"/>
      <c r="AO54" s="155"/>
      <c r="AQ54" s="154"/>
      <c r="AR54" s="154"/>
      <c r="AS54" s="155"/>
      <c r="AT54" s="156"/>
      <c r="AU54" s="156"/>
    </row>
    <row r="55" spans="1:47" s="141" customFormat="1" ht="11.4" x14ac:dyDescent="0.2">
      <c r="A55" s="198" t="s">
        <v>89</v>
      </c>
      <c r="B55" s="154">
        <v>300</v>
      </c>
      <c r="C55" s="154">
        <f>200+100</f>
        <v>300</v>
      </c>
      <c r="D55" s="154">
        <v>0</v>
      </c>
      <c r="E55" s="155">
        <v>0</v>
      </c>
      <c r="F55" s="154">
        <f>200+100</f>
        <v>300</v>
      </c>
      <c r="G55" s="154">
        <v>436</v>
      </c>
      <c r="H55" s="155">
        <f t="shared" si="4"/>
        <v>1.4533333333333334</v>
      </c>
      <c r="I55" s="157">
        <f>200+100</f>
        <v>300</v>
      </c>
      <c r="J55" s="159">
        <v>0</v>
      </c>
      <c r="K55" s="154">
        <v>0</v>
      </c>
      <c r="L55" s="229">
        <v>0</v>
      </c>
      <c r="M55" s="159"/>
      <c r="N55" s="155" t="e">
        <f t="shared" si="10"/>
        <v>#DIV/0!</v>
      </c>
      <c r="O55" s="229">
        <v>0</v>
      </c>
      <c r="P55" s="157"/>
      <c r="Q55" s="171">
        <v>0</v>
      </c>
      <c r="R55" s="181">
        <v>0</v>
      </c>
      <c r="S55" s="157"/>
      <c r="T55" s="171" t="e">
        <f t="shared" si="15"/>
        <v>#DIV/0!</v>
      </c>
      <c r="U55" s="181">
        <v>0</v>
      </c>
      <c r="V55" s="154"/>
      <c r="W55" s="172"/>
      <c r="X55" s="154">
        <f>1200+200+100</f>
        <v>1500</v>
      </c>
      <c r="Y55" s="157"/>
      <c r="Z55" s="172">
        <f t="shared" si="11"/>
        <v>0</v>
      </c>
      <c r="AA55" s="181">
        <v>0</v>
      </c>
      <c r="AB55" s="154"/>
      <c r="AC55" s="172" t="e">
        <f t="shared" si="17"/>
        <v>#DIV/0!</v>
      </c>
      <c r="AD55" s="181">
        <v>0</v>
      </c>
      <c r="AE55" s="154"/>
      <c r="AF55" s="172" t="e">
        <f t="shared" si="18"/>
        <v>#DIV/0!</v>
      </c>
      <c r="AG55" s="181">
        <v>0</v>
      </c>
      <c r="AH55" s="154"/>
      <c r="AI55" s="154" t="e">
        <f t="shared" si="19"/>
        <v>#DIV/0!</v>
      </c>
      <c r="AJ55" s="154">
        <f>4600+500+200+300</f>
        <v>5600</v>
      </c>
      <c r="AK55" s="154"/>
      <c r="AL55" s="154">
        <f t="shared" si="20"/>
        <v>0</v>
      </c>
      <c r="AM55" s="173">
        <f>C55+F55+I55+L55+O55+R55+U55+X55+AA55+AD55+AG55+AJ55</f>
        <v>8000</v>
      </c>
      <c r="AN55" s="154">
        <f t="shared" si="5"/>
        <v>436</v>
      </c>
      <c r="AO55" s="155">
        <f t="shared" si="6"/>
        <v>5.45E-2</v>
      </c>
      <c r="AQ55" s="154">
        <v>12800</v>
      </c>
      <c r="AR55" s="154">
        <v>3536</v>
      </c>
      <c r="AS55" s="155">
        <v>0.27625</v>
      </c>
      <c r="AT55" s="156">
        <f t="shared" si="1"/>
        <v>353.6</v>
      </c>
      <c r="AU55" s="156">
        <f t="shared" si="12"/>
        <v>1066.6666666666667</v>
      </c>
    </row>
    <row r="56" spans="1:47" s="141" customFormat="1" ht="11.4" x14ac:dyDescent="0.2">
      <c r="A56" s="198" t="s">
        <v>122</v>
      </c>
      <c r="B56" s="154">
        <v>450</v>
      </c>
      <c r="C56" s="154">
        <f>450*1.05</f>
        <v>472.5</v>
      </c>
      <c r="D56" s="154">
        <v>447</v>
      </c>
      <c r="E56" s="155">
        <f t="shared" si="8"/>
        <v>0.946031746031746</v>
      </c>
      <c r="F56" s="154">
        <f>450*1.05</f>
        <v>472.5</v>
      </c>
      <c r="G56" s="154">
        <v>276</v>
      </c>
      <c r="H56" s="155">
        <f t="shared" si="4"/>
        <v>0.58412698412698416</v>
      </c>
      <c r="I56" s="154">
        <f>450*1.05</f>
        <v>472.5</v>
      </c>
      <c r="J56" s="158">
        <v>629</v>
      </c>
      <c r="K56" s="155">
        <f t="shared" ref="K56:K61" si="23">J56/I56</f>
        <v>1.3312169312169313</v>
      </c>
      <c r="L56" s="154">
        <f>450*1.05</f>
        <v>472.5</v>
      </c>
      <c r="M56" s="159"/>
      <c r="N56" s="155">
        <f t="shared" si="10"/>
        <v>0</v>
      </c>
      <c r="O56" s="154">
        <f>450*1.05</f>
        <v>472.5</v>
      </c>
      <c r="P56" s="157"/>
      <c r="Q56" s="171">
        <f>P56/O56</f>
        <v>0</v>
      </c>
      <c r="R56" s="154">
        <f>450*1.05</f>
        <v>472.5</v>
      </c>
      <c r="S56" s="157"/>
      <c r="T56" s="171">
        <f t="shared" si="15"/>
        <v>0</v>
      </c>
      <c r="U56" s="154">
        <f>450*1.05</f>
        <v>472.5</v>
      </c>
      <c r="V56" s="154"/>
      <c r="W56" s="172">
        <f>V56/U56</f>
        <v>0</v>
      </c>
      <c r="X56" s="154">
        <f>450*1.05</f>
        <v>472.5</v>
      </c>
      <c r="Y56" s="154"/>
      <c r="Z56" s="172">
        <f t="shared" si="11"/>
        <v>0</v>
      </c>
      <c r="AA56" s="154">
        <f>450*1.05</f>
        <v>472.5</v>
      </c>
      <c r="AB56" s="154"/>
      <c r="AC56" s="172">
        <f t="shared" si="17"/>
        <v>0</v>
      </c>
      <c r="AD56" s="154">
        <f>450*1.05</f>
        <v>472.5</v>
      </c>
      <c r="AE56" s="154"/>
      <c r="AF56" s="182">
        <f t="shared" si="18"/>
        <v>0</v>
      </c>
      <c r="AG56" s="154">
        <f>450*1.05</f>
        <v>472.5</v>
      </c>
      <c r="AH56" s="154"/>
      <c r="AI56" s="154">
        <f t="shared" si="19"/>
        <v>0</v>
      </c>
      <c r="AJ56" s="154">
        <f>450*1.05</f>
        <v>472.5</v>
      </c>
      <c r="AK56" s="154"/>
      <c r="AL56" s="154">
        <f t="shared" si="20"/>
        <v>0</v>
      </c>
      <c r="AM56" s="173">
        <f t="shared" si="5"/>
        <v>5670</v>
      </c>
      <c r="AN56" s="154">
        <f t="shared" si="5"/>
        <v>1352</v>
      </c>
      <c r="AO56" s="155">
        <f t="shared" si="6"/>
        <v>0.23844797178130511</v>
      </c>
      <c r="AQ56" s="154">
        <v>5400</v>
      </c>
      <c r="AR56" s="154">
        <v>4292</v>
      </c>
      <c r="AS56" s="155">
        <v>0.79481481481481486</v>
      </c>
      <c r="AT56" s="156">
        <f t="shared" si="1"/>
        <v>429.2</v>
      </c>
      <c r="AU56" s="156">
        <f t="shared" si="12"/>
        <v>450</v>
      </c>
    </row>
    <row r="57" spans="1:47" s="141" customFormat="1" ht="11.4" x14ac:dyDescent="0.2">
      <c r="A57" s="198" t="s">
        <v>123</v>
      </c>
      <c r="B57" s="154">
        <v>600</v>
      </c>
      <c r="C57" s="154">
        <v>600</v>
      </c>
      <c r="D57" s="154">
        <v>1149</v>
      </c>
      <c r="E57" s="155">
        <f t="shared" si="8"/>
        <v>1.915</v>
      </c>
      <c r="F57" s="154">
        <v>600</v>
      </c>
      <c r="G57" s="154">
        <v>343</v>
      </c>
      <c r="H57" s="155">
        <f t="shared" si="4"/>
        <v>0.57166666666666666</v>
      </c>
      <c r="I57" s="157">
        <v>600</v>
      </c>
      <c r="J57" s="158">
        <v>490</v>
      </c>
      <c r="K57" s="155">
        <f t="shared" si="23"/>
        <v>0.81666666666666665</v>
      </c>
      <c r="L57" s="229">
        <v>300</v>
      </c>
      <c r="M57" s="159"/>
      <c r="N57" s="155">
        <f t="shared" si="10"/>
        <v>0</v>
      </c>
      <c r="O57" s="229">
        <v>300</v>
      </c>
      <c r="P57" s="157"/>
      <c r="Q57" s="171">
        <f>P57/O57</f>
        <v>0</v>
      </c>
      <c r="R57" s="229">
        <v>300</v>
      </c>
      <c r="S57" s="157"/>
      <c r="T57" s="171">
        <f t="shared" si="15"/>
        <v>0</v>
      </c>
      <c r="U57" s="154">
        <v>600</v>
      </c>
      <c r="V57" s="154"/>
      <c r="W57" s="172">
        <f>V57/U57</f>
        <v>0</v>
      </c>
      <c r="X57" s="154">
        <v>600</v>
      </c>
      <c r="Y57" s="154"/>
      <c r="Z57" s="172">
        <f t="shared" si="11"/>
        <v>0</v>
      </c>
      <c r="AA57" s="154">
        <v>600</v>
      </c>
      <c r="AB57" s="154"/>
      <c r="AC57" s="172">
        <f t="shared" si="17"/>
        <v>0</v>
      </c>
      <c r="AD57" s="154">
        <v>600</v>
      </c>
      <c r="AE57" s="154"/>
      <c r="AF57" s="172">
        <f t="shared" si="18"/>
        <v>0</v>
      </c>
      <c r="AG57" s="154">
        <v>600</v>
      </c>
      <c r="AH57" s="154"/>
      <c r="AI57" s="154">
        <f t="shared" si="19"/>
        <v>0</v>
      </c>
      <c r="AJ57" s="154">
        <v>600</v>
      </c>
      <c r="AK57" s="154"/>
      <c r="AL57" s="154">
        <f t="shared" si="20"/>
        <v>0</v>
      </c>
      <c r="AM57" s="173">
        <f t="shared" si="5"/>
        <v>6300</v>
      </c>
      <c r="AN57" s="154">
        <f t="shared" si="5"/>
        <v>1982</v>
      </c>
      <c r="AO57" s="155">
        <f t="shared" si="6"/>
        <v>0.31460317460317461</v>
      </c>
      <c r="AQ57" s="154">
        <v>7200</v>
      </c>
      <c r="AR57" s="154">
        <v>3169</v>
      </c>
      <c r="AS57" s="155">
        <v>0.44013888888888891</v>
      </c>
      <c r="AT57" s="156">
        <f t="shared" si="1"/>
        <v>316.89999999999998</v>
      </c>
      <c r="AU57" s="156">
        <f t="shared" si="12"/>
        <v>600</v>
      </c>
    </row>
    <row r="58" spans="1:47" s="141" customFormat="1" ht="11.4" x14ac:dyDescent="0.2">
      <c r="A58" s="198" t="s">
        <v>124</v>
      </c>
      <c r="B58" s="154">
        <v>210</v>
      </c>
      <c r="C58" s="154">
        <v>210</v>
      </c>
      <c r="D58" s="154">
        <v>112</v>
      </c>
      <c r="E58" s="155">
        <f t="shared" si="8"/>
        <v>0.53333333333333333</v>
      </c>
      <c r="F58" s="154">
        <v>210</v>
      </c>
      <c r="G58" s="154">
        <v>55</v>
      </c>
      <c r="H58" s="155">
        <f t="shared" si="4"/>
        <v>0.26190476190476192</v>
      </c>
      <c r="I58" s="157">
        <v>210</v>
      </c>
      <c r="J58" s="158">
        <v>67</v>
      </c>
      <c r="K58" s="155">
        <f t="shared" si="23"/>
        <v>0.31904761904761902</v>
      </c>
      <c r="L58" s="229">
        <v>100</v>
      </c>
      <c r="M58" s="159"/>
      <c r="N58" s="155">
        <f t="shared" si="10"/>
        <v>0</v>
      </c>
      <c r="O58" s="229">
        <v>100</v>
      </c>
      <c r="P58" s="157"/>
      <c r="Q58" s="171">
        <f>P58/O58</f>
        <v>0</v>
      </c>
      <c r="R58" s="229">
        <v>100</v>
      </c>
      <c r="S58" s="157"/>
      <c r="T58" s="171">
        <f t="shared" si="15"/>
        <v>0</v>
      </c>
      <c r="U58" s="154">
        <v>210</v>
      </c>
      <c r="V58" s="154"/>
      <c r="W58" s="172">
        <f>V58/U58</f>
        <v>0</v>
      </c>
      <c r="X58" s="154">
        <v>210</v>
      </c>
      <c r="Y58" s="154"/>
      <c r="Z58" s="172">
        <f t="shared" si="11"/>
        <v>0</v>
      </c>
      <c r="AA58" s="154">
        <v>210</v>
      </c>
      <c r="AB58" s="154"/>
      <c r="AC58" s="172">
        <f t="shared" si="17"/>
        <v>0</v>
      </c>
      <c r="AD58" s="154">
        <v>210</v>
      </c>
      <c r="AE58" s="154"/>
      <c r="AF58" s="172">
        <f t="shared" si="18"/>
        <v>0</v>
      </c>
      <c r="AG58" s="154">
        <v>210</v>
      </c>
      <c r="AH58" s="154"/>
      <c r="AI58" s="154">
        <f t="shared" si="19"/>
        <v>0</v>
      </c>
      <c r="AJ58" s="154">
        <v>210</v>
      </c>
      <c r="AK58" s="154"/>
      <c r="AL58" s="154">
        <f t="shared" si="20"/>
        <v>0</v>
      </c>
      <c r="AM58" s="173">
        <f t="shared" si="5"/>
        <v>2190</v>
      </c>
      <c r="AN58" s="154">
        <f t="shared" si="5"/>
        <v>234</v>
      </c>
      <c r="AO58" s="155">
        <f t="shared" si="6"/>
        <v>0.10684931506849316</v>
      </c>
      <c r="AQ58" s="154">
        <v>2520</v>
      </c>
      <c r="AR58" s="154">
        <v>977</v>
      </c>
      <c r="AS58" s="155">
        <v>0.38769841269841271</v>
      </c>
      <c r="AT58" s="156">
        <f t="shared" si="1"/>
        <v>97.7</v>
      </c>
      <c r="AU58" s="156">
        <f t="shared" si="12"/>
        <v>210</v>
      </c>
    </row>
    <row r="59" spans="1:47" s="141" customFormat="1" ht="11.4" x14ac:dyDescent="0.2">
      <c r="A59" s="198" t="s">
        <v>125</v>
      </c>
      <c r="B59" s="154">
        <v>85</v>
      </c>
      <c r="C59" s="154">
        <v>85</v>
      </c>
      <c r="D59" s="154">
        <v>0</v>
      </c>
      <c r="E59" s="155">
        <f t="shared" si="8"/>
        <v>0</v>
      </c>
      <c r="F59" s="154">
        <v>85</v>
      </c>
      <c r="G59" s="154">
        <v>36</v>
      </c>
      <c r="H59" s="155">
        <f t="shared" si="4"/>
        <v>0.42352941176470588</v>
      </c>
      <c r="I59" s="157">
        <v>85</v>
      </c>
      <c r="J59" s="158">
        <v>36</v>
      </c>
      <c r="K59" s="155">
        <f t="shared" si="23"/>
        <v>0.42352941176470588</v>
      </c>
      <c r="L59" s="157">
        <v>85</v>
      </c>
      <c r="M59" s="159"/>
      <c r="N59" s="155">
        <f t="shared" si="10"/>
        <v>0</v>
      </c>
      <c r="O59" s="159">
        <v>85</v>
      </c>
      <c r="P59" s="157"/>
      <c r="Q59" s="171">
        <f>P59/O59</f>
        <v>0</v>
      </c>
      <c r="R59" s="154">
        <v>85</v>
      </c>
      <c r="S59" s="157"/>
      <c r="T59" s="171">
        <f t="shared" si="15"/>
        <v>0</v>
      </c>
      <c r="U59" s="154">
        <v>85</v>
      </c>
      <c r="V59" s="154"/>
      <c r="W59" s="172">
        <f>V59/U59</f>
        <v>0</v>
      </c>
      <c r="X59" s="154">
        <v>85</v>
      </c>
      <c r="Y59" s="154"/>
      <c r="Z59" s="172">
        <f t="shared" si="11"/>
        <v>0</v>
      </c>
      <c r="AA59" s="154">
        <v>85</v>
      </c>
      <c r="AB59" s="154"/>
      <c r="AC59" s="172">
        <f t="shared" si="17"/>
        <v>0</v>
      </c>
      <c r="AD59" s="154">
        <v>85</v>
      </c>
      <c r="AE59" s="154"/>
      <c r="AF59" s="172">
        <f t="shared" si="18"/>
        <v>0</v>
      </c>
      <c r="AG59" s="154">
        <v>85</v>
      </c>
      <c r="AH59" s="154"/>
      <c r="AI59" s="154">
        <f t="shared" si="19"/>
        <v>0</v>
      </c>
      <c r="AJ59" s="154">
        <v>85</v>
      </c>
      <c r="AK59" s="154"/>
      <c r="AL59" s="154">
        <f t="shared" si="20"/>
        <v>0</v>
      </c>
      <c r="AM59" s="173">
        <f t="shared" si="5"/>
        <v>1020</v>
      </c>
      <c r="AN59" s="154">
        <f t="shared" si="5"/>
        <v>72</v>
      </c>
      <c r="AO59" s="155">
        <f t="shared" si="6"/>
        <v>7.0588235294117646E-2</v>
      </c>
      <c r="AQ59" s="154">
        <v>1020</v>
      </c>
      <c r="AR59" s="154">
        <v>182</v>
      </c>
      <c r="AS59" s="155">
        <v>0.17843137254901961</v>
      </c>
      <c r="AT59" s="156">
        <f t="shared" si="1"/>
        <v>18.2</v>
      </c>
      <c r="AU59" s="156">
        <f t="shared" si="12"/>
        <v>85</v>
      </c>
    </row>
    <row r="60" spans="1:47" s="141" customFormat="1" ht="12" thickBot="1" x14ac:dyDescent="0.25">
      <c r="A60" s="198" t="s">
        <v>126</v>
      </c>
      <c r="B60" s="154">
        <v>140</v>
      </c>
      <c r="C60" s="154">
        <v>150</v>
      </c>
      <c r="D60" s="154">
        <v>150</v>
      </c>
      <c r="E60" s="155">
        <f t="shared" si="8"/>
        <v>1</v>
      </c>
      <c r="F60" s="154">
        <v>150</v>
      </c>
      <c r="G60" s="154">
        <f>F60</f>
        <v>150</v>
      </c>
      <c r="H60" s="155">
        <f t="shared" si="4"/>
        <v>1</v>
      </c>
      <c r="I60" s="154">
        <v>150</v>
      </c>
      <c r="J60" s="158">
        <f>I60</f>
        <v>150</v>
      </c>
      <c r="K60" s="155">
        <f t="shared" si="23"/>
        <v>1</v>
      </c>
      <c r="L60" s="154">
        <v>150</v>
      </c>
      <c r="M60" s="159"/>
      <c r="N60" s="155">
        <f t="shared" si="10"/>
        <v>0</v>
      </c>
      <c r="O60" s="154">
        <v>150</v>
      </c>
      <c r="P60" s="157"/>
      <c r="Q60" s="171">
        <f>P60/O60</f>
        <v>0</v>
      </c>
      <c r="R60" s="154">
        <v>150</v>
      </c>
      <c r="S60" s="157"/>
      <c r="T60" s="171">
        <f t="shared" si="15"/>
        <v>0</v>
      </c>
      <c r="U60" s="154">
        <v>150</v>
      </c>
      <c r="V60" s="154"/>
      <c r="W60" s="172">
        <f>V60/U60</f>
        <v>0</v>
      </c>
      <c r="X60" s="154">
        <v>150</v>
      </c>
      <c r="Y60" s="154"/>
      <c r="Z60" s="172">
        <f t="shared" si="11"/>
        <v>0</v>
      </c>
      <c r="AA60" s="154">
        <v>150</v>
      </c>
      <c r="AB60" s="154"/>
      <c r="AC60" s="172">
        <f t="shared" si="17"/>
        <v>0</v>
      </c>
      <c r="AD60" s="154">
        <v>150</v>
      </c>
      <c r="AE60" s="154"/>
      <c r="AF60" s="172">
        <f t="shared" si="18"/>
        <v>0</v>
      </c>
      <c r="AG60" s="154">
        <v>150</v>
      </c>
      <c r="AH60" s="154"/>
      <c r="AI60" s="154">
        <f t="shared" si="19"/>
        <v>0</v>
      </c>
      <c r="AJ60" s="154">
        <v>150</v>
      </c>
      <c r="AK60" s="154"/>
      <c r="AL60" s="154">
        <f t="shared" si="20"/>
        <v>0</v>
      </c>
      <c r="AM60" s="173">
        <f t="shared" si="5"/>
        <v>1800</v>
      </c>
      <c r="AN60" s="154">
        <f t="shared" si="5"/>
        <v>450</v>
      </c>
      <c r="AO60" s="155">
        <f t="shared" si="6"/>
        <v>0.25</v>
      </c>
      <c r="AQ60" s="154">
        <v>1680</v>
      </c>
      <c r="AR60" s="154">
        <v>1260</v>
      </c>
      <c r="AS60" s="155">
        <v>0.75</v>
      </c>
      <c r="AT60" s="156">
        <f t="shared" si="1"/>
        <v>126</v>
      </c>
      <c r="AU60" s="156">
        <f t="shared" si="12"/>
        <v>140</v>
      </c>
    </row>
    <row r="61" spans="1:47" s="141" customFormat="1" ht="12.6" thickBot="1" x14ac:dyDescent="0.3">
      <c r="A61" s="164"/>
      <c r="B61" s="165">
        <f>SUM(B53:B60)</f>
        <v>2035</v>
      </c>
      <c r="C61" s="165">
        <f t="shared" ref="C61:AO61" si="24">SUM(C53:C60)</f>
        <v>2067.5</v>
      </c>
      <c r="D61" s="165">
        <f t="shared" si="24"/>
        <v>1858</v>
      </c>
      <c r="E61" s="190">
        <f>D61/C61</f>
        <v>0.89866989117291418</v>
      </c>
      <c r="F61" s="165">
        <f t="shared" si="24"/>
        <v>2067.5</v>
      </c>
      <c r="G61" s="165">
        <f t="shared" si="24"/>
        <v>1296</v>
      </c>
      <c r="H61" s="190">
        <f>G61/F61</f>
        <v>0.62684401451027816</v>
      </c>
      <c r="I61" s="167">
        <f t="shared" si="24"/>
        <v>2067.5</v>
      </c>
      <c r="J61" s="168">
        <f t="shared" si="24"/>
        <v>1372</v>
      </c>
      <c r="K61" s="190">
        <f t="shared" si="23"/>
        <v>0.66360338573155986</v>
      </c>
      <c r="L61" s="165">
        <f t="shared" si="24"/>
        <v>1107.5</v>
      </c>
      <c r="M61" s="165">
        <f t="shared" si="24"/>
        <v>0</v>
      </c>
      <c r="N61" s="165" t="e">
        <f t="shared" si="24"/>
        <v>#DIV/0!</v>
      </c>
      <c r="O61" s="165">
        <f t="shared" si="24"/>
        <v>1107.5</v>
      </c>
      <c r="P61" s="165">
        <f t="shared" si="24"/>
        <v>0</v>
      </c>
      <c r="Q61" s="165" t="e">
        <f t="shared" si="24"/>
        <v>#DIV/0!</v>
      </c>
      <c r="R61" s="165">
        <f t="shared" si="24"/>
        <v>1107.5</v>
      </c>
      <c r="S61" s="165">
        <f t="shared" si="24"/>
        <v>0</v>
      </c>
      <c r="T61" s="165" t="e">
        <f t="shared" si="24"/>
        <v>#DIV/0!</v>
      </c>
      <c r="U61" s="165">
        <f t="shared" si="24"/>
        <v>1767.5</v>
      </c>
      <c r="V61" s="165">
        <f t="shared" si="24"/>
        <v>0</v>
      </c>
      <c r="W61" s="165">
        <f t="shared" si="24"/>
        <v>0</v>
      </c>
      <c r="X61" s="165">
        <f t="shared" si="24"/>
        <v>3267.5</v>
      </c>
      <c r="Y61" s="165">
        <f t="shared" si="24"/>
        <v>0</v>
      </c>
      <c r="Z61" s="165">
        <f t="shared" si="24"/>
        <v>0</v>
      </c>
      <c r="AA61" s="165">
        <f t="shared" si="24"/>
        <v>1767.5</v>
      </c>
      <c r="AB61" s="165">
        <f t="shared" si="24"/>
        <v>0</v>
      </c>
      <c r="AC61" s="165" t="e">
        <f t="shared" si="24"/>
        <v>#DIV/0!</v>
      </c>
      <c r="AD61" s="165">
        <f t="shared" si="24"/>
        <v>1767.5</v>
      </c>
      <c r="AE61" s="165">
        <f t="shared" si="24"/>
        <v>0</v>
      </c>
      <c r="AF61" s="165" t="e">
        <f t="shared" si="24"/>
        <v>#DIV/0!</v>
      </c>
      <c r="AG61" s="165">
        <f t="shared" si="24"/>
        <v>1767.5</v>
      </c>
      <c r="AH61" s="165">
        <f t="shared" si="24"/>
        <v>0</v>
      </c>
      <c r="AI61" s="165" t="e">
        <f t="shared" si="24"/>
        <v>#DIV/0!</v>
      </c>
      <c r="AJ61" s="165">
        <f t="shared" si="24"/>
        <v>8467.5</v>
      </c>
      <c r="AK61" s="165">
        <f t="shared" si="24"/>
        <v>0</v>
      </c>
      <c r="AL61" s="165">
        <f t="shared" si="24"/>
        <v>0</v>
      </c>
      <c r="AM61" s="165">
        <f t="shared" si="24"/>
        <v>28330</v>
      </c>
      <c r="AN61" s="165">
        <f t="shared" si="24"/>
        <v>4526</v>
      </c>
      <c r="AO61" s="165">
        <f t="shared" si="24"/>
        <v>1.0349886967470905</v>
      </c>
      <c r="AQ61" s="165"/>
      <c r="AR61" s="165"/>
      <c r="AS61" s="166"/>
      <c r="AT61" s="156"/>
      <c r="AU61" s="156">
        <f t="shared" si="12"/>
        <v>0</v>
      </c>
    </row>
    <row r="62" spans="1:47" s="141" customFormat="1" ht="12.6" thickBot="1" x14ac:dyDescent="0.3">
      <c r="A62" s="200" t="s">
        <v>145</v>
      </c>
      <c r="B62" s="154"/>
      <c r="C62" s="154"/>
      <c r="D62" s="154"/>
      <c r="E62" s="155"/>
      <c r="F62" s="154"/>
      <c r="G62" s="154"/>
      <c r="H62" s="155"/>
      <c r="I62" s="157"/>
      <c r="J62" s="159"/>
      <c r="K62" s="155"/>
      <c r="L62" s="157"/>
      <c r="M62" s="159"/>
      <c r="N62" s="155"/>
      <c r="O62" s="154"/>
      <c r="P62" s="157"/>
      <c r="Q62" s="171"/>
      <c r="R62" s="154"/>
      <c r="S62" s="157"/>
      <c r="T62" s="171"/>
      <c r="U62" s="154"/>
      <c r="V62" s="154"/>
      <c r="W62" s="172"/>
      <c r="X62" s="154"/>
      <c r="Y62" s="154"/>
      <c r="Z62" s="172"/>
      <c r="AA62" s="154"/>
      <c r="AB62" s="154"/>
      <c r="AC62" s="172"/>
      <c r="AD62" s="154"/>
      <c r="AE62" s="154"/>
      <c r="AF62" s="172"/>
      <c r="AG62" s="154"/>
      <c r="AH62" s="154"/>
      <c r="AI62" s="154"/>
      <c r="AJ62" s="154"/>
      <c r="AK62" s="154"/>
      <c r="AL62" s="154"/>
      <c r="AM62" s="173"/>
      <c r="AN62" s="154"/>
      <c r="AO62" s="155"/>
      <c r="AQ62" s="154"/>
      <c r="AR62" s="154"/>
      <c r="AS62" s="155"/>
      <c r="AT62" s="156"/>
      <c r="AU62" s="156">
        <f t="shared" si="12"/>
        <v>0</v>
      </c>
    </row>
    <row r="63" spans="1:47" s="141" customFormat="1" ht="11.4" x14ac:dyDescent="0.2">
      <c r="A63" s="198" t="s">
        <v>152</v>
      </c>
      <c r="B63" s="154"/>
      <c r="C63" s="154"/>
      <c r="D63" s="154"/>
      <c r="E63" s="155"/>
      <c r="F63" s="154"/>
      <c r="G63" s="154"/>
      <c r="H63" s="155"/>
      <c r="I63" s="157"/>
      <c r="J63" s="159"/>
      <c r="K63" s="155"/>
      <c r="L63" s="157"/>
      <c r="M63" s="159"/>
      <c r="N63" s="155"/>
      <c r="O63" s="154"/>
      <c r="P63" s="157"/>
      <c r="Q63" s="171"/>
      <c r="R63" s="154"/>
      <c r="S63" s="157"/>
      <c r="T63" s="171"/>
      <c r="U63" s="154"/>
      <c r="V63" s="154"/>
      <c r="W63" s="172"/>
      <c r="X63" s="181"/>
      <c r="Y63" s="154"/>
      <c r="Z63" s="172"/>
      <c r="AA63" s="181">
        <v>35000</v>
      </c>
      <c r="AB63" s="181"/>
      <c r="AC63" s="182"/>
      <c r="AD63" s="181">
        <v>35000</v>
      </c>
      <c r="AE63" s="181"/>
      <c r="AF63" s="182"/>
      <c r="AG63" s="181">
        <v>35000</v>
      </c>
      <c r="AH63" s="181"/>
      <c r="AI63" s="181"/>
      <c r="AJ63" s="181">
        <v>35000</v>
      </c>
      <c r="AK63" s="154"/>
      <c r="AL63" s="154"/>
      <c r="AM63" s="173">
        <f>C63+F63+I63+L63+O63+R63+U63+X63+AA63+AD63+AG63+AJ63</f>
        <v>140000</v>
      </c>
      <c r="AN63" s="154"/>
      <c r="AO63" s="155"/>
      <c r="AQ63" s="154"/>
      <c r="AR63" s="154"/>
      <c r="AS63" s="155"/>
      <c r="AT63" s="156"/>
      <c r="AU63" s="156"/>
    </row>
    <row r="64" spans="1:47" s="141" customFormat="1" ht="11.4" x14ac:dyDescent="0.2">
      <c r="A64" s="198" t="s">
        <v>104</v>
      </c>
      <c r="B64" s="154">
        <v>3429</v>
      </c>
      <c r="C64" s="154">
        <v>3429</v>
      </c>
      <c r="D64" s="154">
        <f>C64</f>
        <v>3429</v>
      </c>
      <c r="E64" s="155">
        <f>D64/C64</f>
        <v>1</v>
      </c>
      <c r="F64" s="154">
        <v>3429</v>
      </c>
      <c r="G64" s="154">
        <f>F64</f>
        <v>3429</v>
      </c>
      <c r="H64" s="155">
        <f>G64/F64</f>
        <v>1</v>
      </c>
      <c r="I64" s="157">
        <v>3429</v>
      </c>
      <c r="J64" s="159">
        <f>I64</f>
        <v>3429</v>
      </c>
      <c r="K64" s="155">
        <f>J64/I64</f>
        <v>1</v>
      </c>
      <c r="L64" s="157">
        <v>3429</v>
      </c>
      <c r="M64" s="159">
        <f>J64</f>
        <v>3429</v>
      </c>
      <c r="N64" s="155">
        <f>M64/L64</f>
        <v>1</v>
      </c>
      <c r="O64" s="154">
        <v>3429</v>
      </c>
      <c r="P64" s="157"/>
      <c r="Q64" s="171">
        <f>P64/O64</f>
        <v>0</v>
      </c>
      <c r="R64" s="154">
        <v>3429</v>
      </c>
      <c r="S64" s="157"/>
      <c r="T64" s="171">
        <f>S64/R64</f>
        <v>0</v>
      </c>
      <c r="U64" s="154">
        <v>3429</v>
      </c>
      <c r="V64" s="154"/>
      <c r="W64" s="172">
        <f>V64/U64</f>
        <v>0</v>
      </c>
      <c r="X64" s="154">
        <v>3429</v>
      </c>
      <c r="Y64" s="154">
        <f>V64</f>
        <v>0</v>
      </c>
      <c r="Z64" s="172">
        <f>Y64/X64</f>
        <v>0</v>
      </c>
      <c r="AA64" s="154">
        <v>3429</v>
      </c>
      <c r="AB64" s="154"/>
      <c r="AC64" s="172">
        <f>AB64/AA64</f>
        <v>0</v>
      </c>
      <c r="AD64" s="154">
        <v>3429</v>
      </c>
      <c r="AE64" s="154"/>
      <c r="AF64" s="172">
        <f>AE64/AD64</f>
        <v>0</v>
      </c>
      <c r="AG64" s="154">
        <v>3429</v>
      </c>
      <c r="AH64" s="154"/>
      <c r="AI64" s="154">
        <f>AH64/AG64</f>
        <v>0</v>
      </c>
      <c r="AJ64" s="154">
        <v>3429</v>
      </c>
      <c r="AK64" s="154"/>
      <c r="AL64" s="154">
        <f>AK64/AJ64</f>
        <v>0</v>
      </c>
      <c r="AM64" s="173">
        <f>C64+F64+I64+L64+O64+R64+U64+X64+AA64+AD64+AG64+AJ64</f>
        <v>41148</v>
      </c>
      <c r="AN64" s="154">
        <f>D64+G64+J64+M64+P64+S64+V64+Y64+AB64+AE64+AH64+AK64</f>
        <v>13716</v>
      </c>
      <c r="AO64" s="155">
        <f>AN64/AM64</f>
        <v>0.33333333333333331</v>
      </c>
      <c r="AQ64" s="154">
        <v>41148</v>
      </c>
      <c r="AR64" s="154">
        <v>34290</v>
      </c>
      <c r="AS64" s="155">
        <v>0.83333333333333337</v>
      </c>
      <c r="AT64" s="156">
        <f>AR64/10</f>
        <v>3429</v>
      </c>
      <c r="AU64" s="156">
        <f t="shared" si="12"/>
        <v>3429</v>
      </c>
    </row>
    <row r="65" spans="1:47" s="141" customFormat="1" ht="11.4" x14ac:dyDescent="0.2">
      <c r="A65" s="198" t="s">
        <v>127</v>
      </c>
      <c r="B65" s="154">
        <v>2760</v>
      </c>
      <c r="C65" s="154">
        <f>1130+430+1200</f>
        <v>2760</v>
      </c>
      <c r="D65" s="154">
        <v>1918</v>
      </c>
      <c r="E65" s="155">
        <f t="shared" si="8"/>
        <v>0.69492753623188408</v>
      </c>
      <c r="F65" s="154">
        <f>1130+430+1200</f>
        <v>2760</v>
      </c>
      <c r="G65" s="154">
        <v>2278</v>
      </c>
      <c r="H65" s="155">
        <f t="shared" si="4"/>
        <v>0.82536231884057976</v>
      </c>
      <c r="I65" s="157">
        <f>1130+430+1200</f>
        <v>2760</v>
      </c>
      <c r="J65" s="159">
        <v>1693</v>
      </c>
      <c r="K65" s="155">
        <f>J65/I65</f>
        <v>0.61340579710144927</v>
      </c>
      <c r="L65" s="157">
        <f>1130+430+1200</f>
        <v>2760</v>
      </c>
      <c r="M65" s="159"/>
      <c r="N65" s="155">
        <f t="shared" si="10"/>
        <v>0</v>
      </c>
      <c r="O65" s="154">
        <f>1130+430+1200</f>
        <v>2760</v>
      </c>
      <c r="P65" s="157"/>
      <c r="Q65" s="171">
        <f>P65/O65</f>
        <v>0</v>
      </c>
      <c r="R65" s="154">
        <f>1130+430+1200</f>
        <v>2760</v>
      </c>
      <c r="S65" s="157"/>
      <c r="T65" s="171">
        <f t="shared" si="15"/>
        <v>0</v>
      </c>
      <c r="U65" s="154">
        <f>1130+430+1200</f>
        <v>2760</v>
      </c>
      <c r="V65" s="154"/>
      <c r="W65" s="172">
        <f>V65/U65</f>
        <v>0</v>
      </c>
      <c r="X65" s="154">
        <f>1130+430+1200</f>
        <v>2760</v>
      </c>
      <c r="Y65" s="154"/>
      <c r="Z65" s="172">
        <f t="shared" si="11"/>
        <v>0</v>
      </c>
      <c r="AA65" s="154">
        <f>1130+430+1200</f>
        <v>2760</v>
      </c>
      <c r="AB65" s="154"/>
      <c r="AC65" s="172">
        <f t="shared" si="17"/>
        <v>0</v>
      </c>
      <c r="AD65" s="154">
        <f>1130+430+1200</f>
        <v>2760</v>
      </c>
      <c r="AE65" s="154"/>
      <c r="AF65" s="172">
        <f t="shared" si="18"/>
        <v>0</v>
      </c>
      <c r="AG65" s="154">
        <f>1130+430+1200</f>
        <v>2760</v>
      </c>
      <c r="AH65" s="154"/>
      <c r="AI65" s="154">
        <f t="shared" si="19"/>
        <v>0</v>
      </c>
      <c r="AJ65" s="154">
        <f>1130+430+1200</f>
        <v>2760</v>
      </c>
      <c r="AK65" s="154"/>
      <c r="AL65" s="154">
        <f t="shared" si="20"/>
        <v>0</v>
      </c>
      <c r="AM65" s="173">
        <f t="shared" si="5"/>
        <v>33120</v>
      </c>
      <c r="AN65" s="154">
        <f t="shared" si="5"/>
        <v>5889</v>
      </c>
      <c r="AO65" s="155">
        <f t="shared" si="6"/>
        <v>0.17780797101449275</v>
      </c>
      <c r="AQ65" s="154">
        <v>33120</v>
      </c>
      <c r="AR65" s="154">
        <v>14387</v>
      </c>
      <c r="AS65" s="155">
        <v>0.43439009661835748</v>
      </c>
      <c r="AT65" s="156">
        <f t="shared" si="1"/>
        <v>1438.7</v>
      </c>
      <c r="AU65" s="156">
        <f t="shared" si="12"/>
        <v>2760</v>
      </c>
    </row>
    <row r="66" spans="1:47" s="141" customFormat="1" ht="11.4" x14ac:dyDescent="0.2">
      <c r="A66" s="199" t="s">
        <v>128</v>
      </c>
      <c r="B66" s="154">
        <v>4000</v>
      </c>
      <c r="C66" s="154"/>
      <c r="D66" s="154"/>
      <c r="E66" s="155"/>
      <c r="F66" s="154"/>
      <c r="G66" s="154"/>
      <c r="H66" s="155"/>
      <c r="I66" s="157"/>
      <c r="J66" s="159"/>
      <c r="K66" s="155"/>
      <c r="L66" s="157">
        <f>4000*1.06</f>
        <v>4240</v>
      </c>
      <c r="M66" s="159"/>
      <c r="N66" s="155">
        <f t="shared" si="10"/>
        <v>0</v>
      </c>
      <c r="O66" s="159"/>
      <c r="P66" s="157"/>
      <c r="Q66" s="171"/>
      <c r="R66" s="154"/>
      <c r="S66" s="157"/>
      <c r="T66" s="171"/>
      <c r="U66" s="154"/>
      <c r="V66" s="154"/>
      <c r="W66" s="172"/>
      <c r="X66" s="154"/>
      <c r="Y66" s="154"/>
      <c r="Z66" s="172"/>
      <c r="AA66" s="154"/>
      <c r="AB66" s="154"/>
      <c r="AC66" s="172"/>
      <c r="AD66" s="154"/>
      <c r="AE66" s="154"/>
      <c r="AF66" s="172"/>
      <c r="AG66" s="154"/>
      <c r="AH66" s="154"/>
      <c r="AI66" s="154"/>
      <c r="AJ66" s="154"/>
      <c r="AK66" s="154"/>
      <c r="AL66" s="154"/>
      <c r="AM66" s="173">
        <f t="shared" si="5"/>
        <v>4240</v>
      </c>
      <c r="AN66" s="154">
        <f t="shared" si="5"/>
        <v>0</v>
      </c>
      <c r="AO66" s="155">
        <f t="shared" si="6"/>
        <v>0</v>
      </c>
      <c r="AQ66" s="154">
        <v>4000</v>
      </c>
      <c r="AR66" s="154">
        <v>4000</v>
      </c>
      <c r="AS66" s="155">
        <v>1</v>
      </c>
      <c r="AT66" s="156">
        <f t="shared" si="1"/>
        <v>400</v>
      </c>
      <c r="AU66" s="156">
        <f t="shared" si="12"/>
        <v>333.33333333333331</v>
      </c>
    </row>
    <row r="67" spans="1:47" s="141" customFormat="1" ht="12" thickBot="1" x14ac:dyDescent="0.25">
      <c r="A67" s="199" t="s">
        <v>129</v>
      </c>
      <c r="B67" s="183">
        <v>100</v>
      </c>
      <c r="C67" s="183">
        <v>100</v>
      </c>
      <c r="D67" s="154">
        <v>0</v>
      </c>
      <c r="E67" s="155">
        <f t="shared" si="8"/>
        <v>0</v>
      </c>
      <c r="F67" s="175">
        <v>100</v>
      </c>
      <c r="G67" s="154">
        <v>0</v>
      </c>
      <c r="H67" s="155">
        <f t="shared" si="4"/>
        <v>0</v>
      </c>
      <c r="I67" s="175">
        <v>100</v>
      </c>
      <c r="J67" s="159">
        <v>0</v>
      </c>
      <c r="K67" s="155">
        <f>J67/I67</f>
        <v>0</v>
      </c>
      <c r="L67" s="183">
        <v>100</v>
      </c>
      <c r="M67" s="159"/>
      <c r="N67" s="155">
        <f t="shared" si="10"/>
        <v>0</v>
      </c>
      <c r="O67" s="183">
        <v>100</v>
      </c>
      <c r="P67" s="157"/>
      <c r="Q67" s="171">
        <f>P67/O67</f>
        <v>0</v>
      </c>
      <c r="R67" s="183">
        <v>100</v>
      </c>
      <c r="S67" s="157"/>
      <c r="T67" s="171">
        <f t="shared" si="15"/>
        <v>0</v>
      </c>
      <c r="U67" s="183">
        <v>100</v>
      </c>
      <c r="V67" s="157"/>
      <c r="W67" s="172">
        <f>V67/U67</f>
        <v>0</v>
      </c>
      <c r="X67" s="183">
        <v>100</v>
      </c>
      <c r="Y67" s="154"/>
      <c r="Z67" s="172">
        <f t="shared" si="11"/>
        <v>0</v>
      </c>
      <c r="AA67" s="183">
        <v>100</v>
      </c>
      <c r="AB67" s="154"/>
      <c r="AC67" s="184">
        <f t="shared" si="17"/>
        <v>0</v>
      </c>
      <c r="AD67" s="183">
        <v>100</v>
      </c>
      <c r="AE67" s="154"/>
      <c r="AF67" s="184">
        <f t="shared" si="18"/>
        <v>0</v>
      </c>
      <c r="AG67" s="183">
        <v>100</v>
      </c>
      <c r="AH67" s="154"/>
      <c r="AI67" s="183">
        <f t="shared" si="19"/>
        <v>0</v>
      </c>
      <c r="AJ67" s="183">
        <v>100</v>
      </c>
      <c r="AK67" s="154"/>
      <c r="AL67" s="154">
        <f t="shared" si="20"/>
        <v>0</v>
      </c>
      <c r="AM67" s="185">
        <f t="shared" si="5"/>
        <v>1200</v>
      </c>
      <c r="AN67" s="154">
        <f t="shared" si="5"/>
        <v>0</v>
      </c>
      <c r="AO67" s="155">
        <f t="shared" si="6"/>
        <v>0</v>
      </c>
      <c r="AQ67" s="154">
        <v>1200</v>
      </c>
      <c r="AR67" s="154">
        <v>0</v>
      </c>
      <c r="AS67" s="155">
        <v>0</v>
      </c>
      <c r="AT67" s="156">
        <f t="shared" si="1"/>
        <v>0</v>
      </c>
      <c r="AU67" s="156">
        <f t="shared" si="12"/>
        <v>100</v>
      </c>
    </row>
    <row r="68" spans="1:47" s="141" customFormat="1" ht="12.6" thickBot="1" x14ac:dyDescent="0.3">
      <c r="A68" s="164"/>
      <c r="B68" s="165">
        <f>SUM(B64:B67)</f>
        <v>10289</v>
      </c>
      <c r="C68" s="165">
        <f t="shared" ref="C68:AO68" si="25">SUM(C64:C67)</f>
        <v>6289</v>
      </c>
      <c r="D68" s="165">
        <f t="shared" si="25"/>
        <v>5347</v>
      </c>
      <c r="E68" s="190">
        <f>D68/C68</f>
        <v>0.85021466051836536</v>
      </c>
      <c r="F68" s="165">
        <f t="shared" si="25"/>
        <v>6289</v>
      </c>
      <c r="G68" s="165">
        <f t="shared" si="25"/>
        <v>5707</v>
      </c>
      <c r="H68" s="190">
        <f>G68/F68</f>
        <v>0.90745746541580541</v>
      </c>
      <c r="I68" s="165">
        <f t="shared" si="25"/>
        <v>6289</v>
      </c>
      <c r="J68" s="165">
        <f t="shared" si="25"/>
        <v>5122</v>
      </c>
      <c r="K68" s="190">
        <f>J68/I68</f>
        <v>0.81443790745746547</v>
      </c>
      <c r="L68" s="165">
        <f t="shared" si="25"/>
        <v>10529</v>
      </c>
      <c r="M68" s="165">
        <f t="shared" si="25"/>
        <v>3429</v>
      </c>
      <c r="N68" s="165">
        <f t="shared" si="25"/>
        <v>1</v>
      </c>
      <c r="O68" s="165">
        <f>SUM(O63:O67)</f>
        <v>6289</v>
      </c>
      <c r="P68" s="165">
        <f t="shared" si="25"/>
        <v>0</v>
      </c>
      <c r="Q68" s="165">
        <f t="shared" si="25"/>
        <v>0</v>
      </c>
      <c r="R68" s="165">
        <f>SUM(R63:R67)</f>
        <v>6289</v>
      </c>
      <c r="S68" s="165">
        <f t="shared" si="25"/>
        <v>0</v>
      </c>
      <c r="T68" s="165">
        <f t="shared" si="25"/>
        <v>0</v>
      </c>
      <c r="U68" s="165">
        <f>SUM(U63:U67)</f>
        <v>6289</v>
      </c>
      <c r="V68" s="165">
        <f t="shared" si="25"/>
        <v>0</v>
      </c>
      <c r="W68" s="165">
        <f t="shared" si="25"/>
        <v>0</v>
      </c>
      <c r="X68" s="165">
        <f>SUM(X63:X67)</f>
        <v>6289</v>
      </c>
      <c r="Y68" s="165">
        <f t="shared" si="25"/>
        <v>0</v>
      </c>
      <c r="Z68" s="165">
        <f t="shared" si="25"/>
        <v>0</v>
      </c>
      <c r="AA68" s="165">
        <f>SUM(AA63:AA67)</f>
        <v>41289</v>
      </c>
      <c r="AB68" s="165">
        <f t="shared" si="25"/>
        <v>0</v>
      </c>
      <c r="AC68" s="165">
        <f t="shared" si="25"/>
        <v>0</v>
      </c>
      <c r="AD68" s="165">
        <f>SUM(AD63:AD67)</f>
        <v>41289</v>
      </c>
      <c r="AE68" s="165">
        <f t="shared" si="25"/>
        <v>0</v>
      </c>
      <c r="AF68" s="165">
        <f t="shared" si="25"/>
        <v>0</v>
      </c>
      <c r="AG68" s="165">
        <f t="shared" si="25"/>
        <v>6289</v>
      </c>
      <c r="AH68" s="165">
        <f t="shared" si="25"/>
        <v>0</v>
      </c>
      <c r="AI68" s="165">
        <f t="shared" si="25"/>
        <v>0</v>
      </c>
      <c r="AJ68" s="165">
        <f t="shared" si="25"/>
        <v>6289</v>
      </c>
      <c r="AK68" s="165">
        <f t="shared" si="25"/>
        <v>0</v>
      </c>
      <c r="AL68" s="165">
        <f t="shared" si="25"/>
        <v>0</v>
      </c>
      <c r="AM68" s="165">
        <f>SUM(AM63:AM67)</f>
        <v>219708</v>
      </c>
      <c r="AN68" s="165">
        <f t="shared" si="25"/>
        <v>19605</v>
      </c>
      <c r="AO68" s="165">
        <f t="shared" si="25"/>
        <v>0.51114130434782612</v>
      </c>
      <c r="AQ68" s="165"/>
      <c r="AR68" s="165"/>
      <c r="AS68" s="166"/>
      <c r="AT68" s="156"/>
      <c r="AU68" s="156">
        <f t="shared" si="12"/>
        <v>0</v>
      </c>
    </row>
    <row r="69" spans="1:47" s="141" customFormat="1" ht="22.5" customHeight="1" thickBot="1" x14ac:dyDescent="0.3">
      <c r="A69" s="201" t="s">
        <v>146</v>
      </c>
      <c r="B69" s="186">
        <f>B24+B42+B51+B61+B68</f>
        <v>317268</v>
      </c>
      <c r="C69" s="186">
        <f t="shared" ref="C69:AO69" si="26">C24+C42+C51+C61+C68</f>
        <v>280121.63999999996</v>
      </c>
      <c r="D69" s="186">
        <f t="shared" si="26"/>
        <v>237594</v>
      </c>
      <c r="E69" s="186">
        <f>D69/C69</f>
        <v>0.84818152571147321</v>
      </c>
      <c r="F69" s="186">
        <f t="shared" si="26"/>
        <v>285786.63999999996</v>
      </c>
      <c r="G69" s="186">
        <f t="shared" si="26"/>
        <v>292181</v>
      </c>
      <c r="H69" s="166">
        <f>G69/F69</f>
        <v>1.0223745938578517</v>
      </c>
      <c r="I69" s="186">
        <f t="shared" si="26"/>
        <v>290379.63999999996</v>
      </c>
      <c r="J69" s="186">
        <f t="shared" si="26"/>
        <v>190481</v>
      </c>
      <c r="K69" s="186">
        <f t="shared" si="26"/>
        <v>5.3316884424671311</v>
      </c>
      <c r="L69" s="186">
        <f t="shared" si="26"/>
        <v>135318.79999999999</v>
      </c>
      <c r="M69" s="186">
        <f t="shared" si="26"/>
        <v>3429</v>
      </c>
      <c r="N69" s="186" t="e">
        <f t="shared" si="26"/>
        <v>#DIV/0!</v>
      </c>
      <c r="O69" s="186">
        <f t="shared" si="26"/>
        <v>117837.8</v>
      </c>
      <c r="P69" s="186">
        <f t="shared" si="26"/>
        <v>0</v>
      </c>
      <c r="Q69" s="186" t="e">
        <f t="shared" si="26"/>
        <v>#DIV/0!</v>
      </c>
      <c r="R69" s="186">
        <f t="shared" si="26"/>
        <v>242558.2</v>
      </c>
      <c r="S69" s="186">
        <f t="shared" si="26"/>
        <v>0</v>
      </c>
      <c r="T69" s="186" t="e">
        <f t="shared" si="26"/>
        <v>#DIV/0!</v>
      </c>
      <c r="U69" s="186">
        <f t="shared" si="26"/>
        <v>253527.63999999998</v>
      </c>
      <c r="V69" s="186">
        <f t="shared" si="26"/>
        <v>0</v>
      </c>
      <c r="W69" s="186">
        <f t="shared" si="26"/>
        <v>0</v>
      </c>
      <c r="X69" s="186">
        <f t="shared" si="26"/>
        <v>286641.64</v>
      </c>
      <c r="Y69" s="186">
        <f t="shared" si="26"/>
        <v>0</v>
      </c>
      <c r="Z69" s="186">
        <f t="shared" si="26"/>
        <v>0</v>
      </c>
      <c r="AA69" s="186">
        <f t="shared" si="26"/>
        <v>332282.53999999998</v>
      </c>
      <c r="AB69" s="186">
        <f t="shared" si="26"/>
        <v>0</v>
      </c>
      <c r="AC69" s="186" t="e">
        <f t="shared" si="26"/>
        <v>#DIV/0!</v>
      </c>
      <c r="AD69" s="186">
        <f t="shared" si="26"/>
        <v>316612.63999999996</v>
      </c>
      <c r="AE69" s="186">
        <f t="shared" si="26"/>
        <v>0</v>
      </c>
      <c r="AF69" s="186" t="e">
        <f t="shared" si="26"/>
        <v>#DIV/0!</v>
      </c>
      <c r="AG69" s="186">
        <f t="shared" si="26"/>
        <v>272451.64</v>
      </c>
      <c r="AH69" s="186">
        <f t="shared" si="26"/>
        <v>0</v>
      </c>
      <c r="AI69" s="186" t="e">
        <f t="shared" si="26"/>
        <v>#DIV/0!</v>
      </c>
      <c r="AJ69" s="186">
        <f t="shared" si="26"/>
        <v>296754.64</v>
      </c>
      <c r="AK69" s="186">
        <f t="shared" si="26"/>
        <v>0</v>
      </c>
      <c r="AL69" s="186">
        <f t="shared" si="26"/>
        <v>0</v>
      </c>
      <c r="AM69" s="186">
        <f>AM24+AM42+AM51+AM61+AM68</f>
        <v>3180065.46</v>
      </c>
      <c r="AN69" s="186">
        <f t="shared" si="26"/>
        <v>723685</v>
      </c>
      <c r="AO69" s="186">
        <f t="shared" si="26"/>
        <v>7.4472732443924121</v>
      </c>
      <c r="AP69" s="188"/>
      <c r="AQ69" s="186">
        <v>2951845</v>
      </c>
      <c r="AR69" s="186">
        <v>2693265</v>
      </c>
      <c r="AS69" s="187">
        <v>0.91240054948684635</v>
      </c>
      <c r="AT69" s="156">
        <f t="shared" si="1"/>
        <v>269326.5</v>
      </c>
      <c r="AU69" s="156">
        <f t="shared" si="12"/>
        <v>245987.08333333334</v>
      </c>
    </row>
    <row r="70" spans="1:47" s="141" customFormat="1" ht="12.6" thickBot="1" x14ac:dyDescent="0.3">
      <c r="A70" s="202" t="s">
        <v>130</v>
      </c>
      <c r="B70" s="203"/>
      <c r="C70" s="203">
        <f>+C11-C69</f>
        <v>30741.185000000056</v>
      </c>
      <c r="D70" s="203">
        <f>+D11-D69</f>
        <v>129261</v>
      </c>
      <c r="E70" s="203"/>
      <c r="F70" s="204">
        <f>+F11-F69</f>
        <v>25076.185000000056</v>
      </c>
      <c r="G70" s="203">
        <f>+G11-G69</f>
        <v>75329</v>
      </c>
      <c r="H70" s="203"/>
      <c r="I70" s="203">
        <f>+I11-I69</f>
        <v>20483.185000000056</v>
      </c>
      <c r="J70" s="204">
        <f>+J11-J69</f>
        <v>34197</v>
      </c>
      <c r="K70" s="203"/>
      <c r="L70" s="203">
        <f>+L11-L69</f>
        <v>-61986.599999999991</v>
      </c>
      <c r="M70" s="203">
        <f>+M11-M69</f>
        <v>-3429</v>
      </c>
      <c r="N70" s="203"/>
      <c r="O70" s="205">
        <f>+O11-O69</f>
        <v>-44505.600000000006</v>
      </c>
      <c r="P70" s="203">
        <f>+P11-P69</f>
        <v>0</v>
      </c>
      <c r="Q70" s="204"/>
      <c r="R70" s="206">
        <f>+R11-R69</f>
        <v>68304.625</v>
      </c>
      <c r="S70" s="203">
        <f>+S11-S69</f>
        <v>0</v>
      </c>
      <c r="T70" s="204"/>
      <c r="U70" s="203">
        <f>+U11-U69</f>
        <v>57335.185000000027</v>
      </c>
      <c r="V70" s="203">
        <f>+V11-V69</f>
        <v>0</v>
      </c>
      <c r="W70" s="203"/>
      <c r="X70" s="203">
        <f>+X11-X69</f>
        <v>24221.184999999998</v>
      </c>
      <c r="Y70" s="203">
        <f>+Y11-Y69</f>
        <v>0</v>
      </c>
      <c r="Z70" s="203"/>
      <c r="AA70" s="203">
        <f>+AA11-AA69</f>
        <v>-21419.714999999967</v>
      </c>
      <c r="AB70" s="203">
        <f>+AB11-AB69</f>
        <v>0</v>
      </c>
      <c r="AC70" s="207"/>
      <c r="AD70" s="203">
        <f>+AD11-AD69</f>
        <v>36250.185000000056</v>
      </c>
      <c r="AE70" s="203"/>
      <c r="AF70" s="207"/>
      <c r="AG70" s="203">
        <f>+AG11-AG69</f>
        <v>80411.184999999998</v>
      </c>
      <c r="AH70" s="206"/>
      <c r="AI70" s="206"/>
      <c r="AJ70" s="206">
        <f>+AJ11-AJ69</f>
        <v>56108.184999999998</v>
      </c>
      <c r="AK70" s="206"/>
      <c r="AL70" s="206"/>
      <c r="AM70" s="206">
        <f>+AM11-AM69</f>
        <v>201227.19000000041</v>
      </c>
      <c r="AN70" s="206">
        <f>+AN11-AN69</f>
        <v>235358</v>
      </c>
      <c r="AO70" s="203"/>
      <c r="AP70" s="208"/>
      <c r="AQ70" s="206">
        <v>31355</v>
      </c>
      <c r="AR70" s="206">
        <v>267474</v>
      </c>
      <c r="AS70" s="203"/>
      <c r="AT70" s="156">
        <f>AR70/10</f>
        <v>26747.4</v>
      </c>
      <c r="AU70" s="156">
        <f t="shared" si="12"/>
        <v>2612.9166666666665</v>
      </c>
    </row>
    <row r="71" spans="1:47" s="141" customFormat="1" ht="12.6" thickBot="1" x14ac:dyDescent="0.3">
      <c r="A71" s="189"/>
      <c r="B71" s="190"/>
      <c r="C71" s="190">
        <f>+C70/C11</f>
        <v>9.8889872084254704E-2</v>
      </c>
      <c r="D71" s="190">
        <f>+D70/D11</f>
        <v>0.35234902073026125</v>
      </c>
      <c r="E71" s="166"/>
      <c r="F71" s="169">
        <f>+F70/F11</f>
        <v>8.0666400043170342E-2</v>
      </c>
      <c r="G71" s="169">
        <f>+G70/G11</f>
        <v>0.20497129329814154</v>
      </c>
      <c r="H71" s="166"/>
      <c r="I71" s="166">
        <f>+I70/I11</f>
        <v>6.5891394379498591E-2</v>
      </c>
      <c r="J71" s="166">
        <f>+J70/J11</f>
        <v>0.15220448820089194</v>
      </c>
      <c r="K71" s="169"/>
      <c r="L71" s="166">
        <f>+L70/L11</f>
        <v>-0.84528488167544402</v>
      </c>
      <c r="M71" s="169"/>
      <c r="N71" s="169"/>
      <c r="O71" s="169">
        <f>+O70/O11</f>
        <v>-0.60690392487883915</v>
      </c>
      <c r="P71" s="166"/>
      <c r="Q71" s="169"/>
      <c r="R71" s="169">
        <f>+R70/R11</f>
        <v>0.21972593538645219</v>
      </c>
      <c r="S71" s="166"/>
      <c r="T71" s="169"/>
      <c r="U71" s="169">
        <f>+U70/U11</f>
        <v>0.18443885980898495</v>
      </c>
      <c r="V71" s="169"/>
      <c r="W71" s="169"/>
      <c r="X71" s="169">
        <f>+X70/X11</f>
        <v>7.791599075894648E-2</v>
      </c>
      <c r="Y71" s="169"/>
      <c r="Z71" s="169"/>
      <c r="AA71" s="169">
        <f>+AA70/AA11</f>
        <v>-6.8904073685877254E-2</v>
      </c>
      <c r="AB71" s="169"/>
      <c r="AC71" s="169"/>
      <c r="AD71" s="169">
        <f>+AD70/AD11</f>
        <v>0.10273166350124883</v>
      </c>
      <c r="AE71" s="169"/>
      <c r="AF71" s="169"/>
      <c r="AG71" s="169">
        <f>+AG70/AG11</f>
        <v>0.22788227974992831</v>
      </c>
      <c r="AH71" s="169"/>
      <c r="AI71" s="169"/>
      <c r="AJ71" s="169">
        <f>+AJ70/AJ11</f>
        <v>0.15900849005559028</v>
      </c>
      <c r="AK71" s="169"/>
      <c r="AL71" s="169"/>
      <c r="AM71" s="191">
        <f>+AM70/AM11</f>
        <v>5.9511911812779761E-2</v>
      </c>
      <c r="AN71" s="169"/>
      <c r="AO71" s="166"/>
      <c r="AQ71" s="169">
        <v>1.0510525610083133E-2</v>
      </c>
      <c r="AR71" s="169">
        <v>9.0340283287381973E-2</v>
      </c>
      <c r="AS71" s="166"/>
      <c r="AT71" s="156">
        <f>AR71/10</f>
        <v>9.0340283287381976E-3</v>
      </c>
      <c r="AU71" s="156">
        <f t="shared" si="12"/>
        <v>8.7587713417359438E-4</v>
      </c>
    </row>
    <row r="72" spans="1:47" ht="15" thickBot="1" x14ac:dyDescent="0.35">
      <c r="A72" s="200" t="s">
        <v>99</v>
      </c>
      <c r="B72" s="160"/>
      <c r="C72" s="160"/>
      <c r="D72" s="161"/>
      <c r="E72" s="160"/>
      <c r="F72" s="160"/>
      <c r="G72" s="161"/>
      <c r="H72" s="160"/>
      <c r="I72" s="160"/>
      <c r="J72" s="162"/>
      <c r="K72" s="161"/>
      <c r="L72" s="170"/>
      <c r="M72" s="163"/>
      <c r="N72" s="160"/>
      <c r="O72" s="163"/>
      <c r="P72" s="170"/>
      <c r="Q72" s="163"/>
      <c r="R72" s="160"/>
      <c r="S72" s="170"/>
      <c r="T72" s="162"/>
      <c r="U72" s="160"/>
      <c r="V72" s="160"/>
      <c r="W72" s="160"/>
      <c r="X72" s="160"/>
      <c r="Y72" s="160"/>
      <c r="Z72" s="160"/>
      <c r="AA72" s="160"/>
      <c r="AB72" s="160"/>
      <c r="AC72" s="152"/>
      <c r="AD72" s="160"/>
      <c r="AE72" s="160"/>
      <c r="AF72" s="152"/>
      <c r="AG72" s="160"/>
      <c r="AH72" s="161"/>
      <c r="AI72" s="161"/>
      <c r="AJ72" s="161"/>
      <c r="AK72" s="161"/>
      <c r="AL72" s="161"/>
      <c r="AM72" s="161"/>
      <c r="AN72" s="161"/>
      <c r="AO72" s="160"/>
      <c r="AP72" s="141"/>
      <c r="AQ72" s="161"/>
      <c r="AR72" s="161"/>
      <c r="AS72" s="160"/>
      <c r="AT72" s="156">
        <f t="shared" ref="AT72:AT78" si="27">AR72/10</f>
        <v>0</v>
      </c>
      <c r="AU72" s="156">
        <f t="shared" si="12"/>
        <v>0</v>
      </c>
    </row>
    <row r="73" spans="1:47" s="141" customFormat="1" ht="11.4" x14ac:dyDescent="0.2">
      <c r="A73" s="198" t="s">
        <v>100</v>
      </c>
      <c r="B73" s="154">
        <v>29844</v>
      </c>
      <c r="C73" s="154">
        <f>13464+11709+4671</f>
        <v>29844</v>
      </c>
      <c r="D73" s="154">
        <f>C73</f>
        <v>29844</v>
      </c>
      <c r="E73" s="155">
        <f>D73/C73</f>
        <v>1</v>
      </c>
      <c r="F73" s="154">
        <f>13365+11709+4671+17500</f>
        <v>47245</v>
      </c>
      <c r="G73" s="154">
        <f>F73</f>
        <v>47245</v>
      </c>
      <c r="H73" s="155">
        <f>G73/F73</f>
        <v>1</v>
      </c>
      <c r="I73" s="157">
        <f>11709+4671</f>
        <v>16380</v>
      </c>
      <c r="J73" s="158">
        <f>I73</f>
        <v>16380</v>
      </c>
      <c r="K73" s="172">
        <f>J73/I73</f>
        <v>1</v>
      </c>
      <c r="L73" s="157">
        <f>11709+4671</f>
        <v>16380</v>
      </c>
      <c r="M73" s="159"/>
      <c r="N73" s="155">
        <f>M73/L73</f>
        <v>0</v>
      </c>
      <c r="O73" s="157">
        <f>11709+4671</f>
        <v>16380</v>
      </c>
      <c r="P73" s="157"/>
      <c r="Q73" s="171">
        <f>P73/O73</f>
        <v>0</v>
      </c>
      <c r="R73" s="154">
        <v>0</v>
      </c>
      <c r="S73" s="157"/>
      <c r="T73" s="171">
        <v>0</v>
      </c>
      <c r="U73" s="154">
        <v>0</v>
      </c>
      <c r="V73" s="157"/>
      <c r="W73" s="171">
        <v>0</v>
      </c>
      <c r="X73" s="154">
        <v>0</v>
      </c>
      <c r="Y73" s="157"/>
      <c r="Z73" s="171">
        <v>0</v>
      </c>
      <c r="AA73" s="154">
        <v>0</v>
      </c>
      <c r="AB73" s="157"/>
      <c r="AC73" s="171">
        <v>0</v>
      </c>
      <c r="AD73" s="154">
        <v>0</v>
      </c>
      <c r="AE73" s="157"/>
      <c r="AF73" s="171">
        <v>0</v>
      </c>
      <c r="AG73" s="154">
        <v>0</v>
      </c>
      <c r="AH73" s="157"/>
      <c r="AI73" s="171">
        <v>0</v>
      </c>
      <c r="AJ73" s="154">
        <v>0</v>
      </c>
      <c r="AK73" s="157"/>
      <c r="AL73" s="171">
        <v>0</v>
      </c>
      <c r="AM73" s="173">
        <f t="shared" ref="AM73:AN78" si="28">C73+F73+I73+L73+O73+R73+U73+X73+AA73+AD73+AG73+AJ73</f>
        <v>126229</v>
      </c>
      <c r="AN73" s="154">
        <f t="shared" si="28"/>
        <v>93469</v>
      </c>
      <c r="AO73" s="155">
        <f>AN73/AM73</f>
        <v>0.74047168241846173</v>
      </c>
      <c r="AQ73" s="154">
        <v>357039</v>
      </c>
      <c r="AR73" s="154">
        <v>297452</v>
      </c>
      <c r="AS73" s="155">
        <v>0.83310786776794687</v>
      </c>
      <c r="AT73" s="156">
        <f t="shared" si="27"/>
        <v>29745.200000000001</v>
      </c>
      <c r="AU73" s="156">
        <f t="shared" si="12"/>
        <v>29753.25</v>
      </c>
    </row>
    <row r="74" spans="1:47" s="141" customFormat="1" ht="11.4" x14ac:dyDescent="0.2">
      <c r="A74" s="198" t="s">
        <v>101</v>
      </c>
      <c r="B74" s="154">
        <v>350</v>
      </c>
      <c r="C74" s="154">
        <v>350</v>
      </c>
      <c r="D74" s="154">
        <v>0</v>
      </c>
      <c r="E74" s="155">
        <f>D74/C74</f>
        <v>0</v>
      </c>
      <c r="F74" s="154">
        <v>350</v>
      </c>
      <c r="G74" s="154">
        <v>2608</v>
      </c>
      <c r="H74" s="174">
        <f>G74/F74</f>
        <v>7.4514285714285711</v>
      </c>
      <c r="I74" s="154">
        <v>350</v>
      </c>
      <c r="J74" s="158">
        <v>0</v>
      </c>
      <c r="K74" s="172">
        <f>J74/I74</f>
        <v>0</v>
      </c>
      <c r="L74" s="154">
        <v>350</v>
      </c>
      <c r="M74" s="159"/>
      <c r="N74" s="155">
        <f>M74/L74</f>
        <v>0</v>
      </c>
      <c r="O74" s="154">
        <v>350</v>
      </c>
      <c r="P74" s="157"/>
      <c r="Q74" s="171">
        <f>P74/O74</f>
        <v>0</v>
      </c>
      <c r="R74" s="154">
        <v>350</v>
      </c>
      <c r="S74" s="157"/>
      <c r="T74" s="171">
        <v>0</v>
      </c>
      <c r="U74" s="154">
        <v>350</v>
      </c>
      <c r="V74" s="154"/>
      <c r="W74" s="172">
        <f>V74/U74</f>
        <v>0</v>
      </c>
      <c r="X74" s="154">
        <v>350</v>
      </c>
      <c r="Y74" s="154"/>
      <c r="Z74" s="172"/>
      <c r="AA74" s="154">
        <v>350</v>
      </c>
      <c r="AB74" s="154"/>
      <c r="AC74" s="172">
        <f>AB74/AA74</f>
        <v>0</v>
      </c>
      <c r="AD74" s="154">
        <v>350</v>
      </c>
      <c r="AE74" s="154"/>
      <c r="AF74" s="172">
        <f>AE74/AD74</f>
        <v>0</v>
      </c>
      <c r="AG74" s="154">
        <v>350</v>
      </c>
      <c r="AH74" s="154"/>
      <c r="AI74" s="154"/>
      <c r="AJ74" s="154">
        <v>350</v>
      </c>
      <c r="AK74" s="154"/>
      <c r="AL74" s="154"/>
      <c r="AM74" s="173">
        <f t="shared" si="28"/>
        <v>4200</v>
      </c>
      <c r="AN74" s="154">
        <f t="shared" si="28"/>
        <v>2608</v>
      </c>
      <c r="AO74" s="155">
        <f>AN74/AM74</f>
        <v>0.62095238095238092</v>
      </c>
      <c r="AQ74" s="154">
        <v>3600</v>
      </c>
      <c r="AR74" s="154">
        <v>2196</v>
      </c>
      <c r="AS74" s="155">
        <v>0.61</v>
      </c>
      <c r="AT74" s="156">
        <f t="shared" si="27"/>
        <v>219.6</v>
      </c>
      <c r="AU74" s="156">
        <f t="shared" si="12"/>
        <v>300</v>
      </c>
    </row>
    <row r="75" spans="1:47" s="141" customFormat="1" ht="11.4" x14ac:dyDescent="0.2">
      <c r="A75" s="198" t="s">
        <v>102</v>
      </c>
      <c r="B75" s="154">
        <v>2000</v>
      </c>
      <c r="C75" s="157"/>
      <c r="D75" s="154"/>
      <c r="E75" s="155"/>
      <c r="F75" s="157">
        <v>2800</v>
      </c>
      <c r="G75" s="159"/>
      <c r="H75" s="155"/>
      <c r="I75" s="157"/>
      <c r="J75" s="158"/>
      <c r="K75" s="172"/>
      <c r="L75" s="157"/>
      <c r="M75" s="159"/>
      <c r="N75" s="155"/>
      <c r="O75" s="159"/>
      <c r="P75" s="157"/>
      <c r="Q75" s="171"/>
      <c r="R75" s="154"/>
      <c r="S75" s="157"/>
      <c r="T75" s="171"/>
      <c r="U75" s="157"/>
      <c r="V75" s="154"/>
      <c r="W75" s="172" t="e">
        <f>V75/U75</f>
        <v>#DIV/0!</v>
      </c>
      <c r="X75" s="154"/>
      <c r="Y75" s="154"/>
      <c r="Z75" s="172"/>
      <c r="AA75" s="157"/>
      <c r="AB75" s="157"/>
      <c r="AC75" s="155"/>
      <c r="AD75" s="157"/>
      <c r="AE75" s="157"/>
      <c r="AF75" s="155"/>
      <c r="AG75" s="157"/>
      <c r="AH75" s="154"/>
      <c r="AI75" s="154"/>
      <c r="AJ75" s="154"/>
      <c r="AK75" s="154"/>
      <c r="AL75" s="154"/>
      <c r="AM75" s="173">
        <f>C75+F75+I75+L75+O75+R75+U75+X75+AA75+AD75+AG75+AJ75</f>
        <v>2800</v>
      </c>
      <c r="AN75" s="154">
        <f t="shared" si="28"/>
        <v>0</v>
      </c>
      <c r="AO75" s="155">
        <v>0</v>
      </c>
      <c r="AQ75" s="154">
        <v>2000</v>
      </c>
      <c r="AR75" s="154">
        <v>0</v>
      </c>
      <c r="AS75" s="155">
        <v>0</v>
      </c>
      <c r="AT75" s="156">
        <f t="shared" si="27"/>
        <v>0</v>
      </c>
      <c r="AU75" s="156">
        <f t="shared" si="12"/>
        <v>166.66666666666666</v>
      </c>
    </row>
    <row r="76" spans="1:47" s="141" customFormat="1" ht="11.4" x14ac:dyDescent="0.2">
      <c r="A76" s="198" t="s">
        <v>151</v>
      </c>
      <c r="B76" s="154"/>
      <c r="C76" s="154"/>
      <c r="D76" s="154"/>
      <c r="E76" s="155"/>
      <c r="F76" s="154">
        <v>400</v>
      </c>
      <c r="G76" s="159">
        <v>0</v>
      </c>
      <c r="H76" s="155">
        <f>G76/F76</f>
        <v>0</v>
      </c>
      <c r="I76" s="157"/>
      <c r="J76" s="158"/>
      <c r="K76" s="172"/>
      <c r="L76" s="157"/>
      <c r="M76" s="159"/>
      <c r="N76" s="155"/>
      <c r="O76" s="222">
        <v>0</v>
      </c>
      <c r="P76" s="157"/>
      <c r="Q76" s="171"/>
      <c r="R76" s="154"/>
      <c r="S76" s="157"/>
      <c r="T76" s="171"/>
      <c r="U76" s="154"/>
      <c r="V76" s="154"/>
      <c r="W76" s="172"/>
      <c r="X76" s="181">
        <v>0</v>
      </c>
      <c r="Y76" s="154"/>
      <c r="Z76" s="172"/>
      <c r="AA76" s="154"/>
      <c r="AB76" s="154"/>
      <c r="AC76" s="172"/>
      <c r="AD76" s="154"/>
      <c r="AE76" s="154"/>
      <c r="AF76" s="172"/>
      <c r="AG76" s="154"/>
      <c r="AH76" s="154"/>
      <c r="AI76" s="154"/>
      <c r="AJ76" s="154"/>
      <c r="AK76" s="154"/>
      <c r="AL76" s="154"/>
      <c r="AM76" s="173">
        <f>C76+F76+I76+L76+O76+R76+U76+X76+AA76+AD76+AG76+AJ76</f>
        <v>400</v>
      </c>
      <c r="AN76" s="154"/>
      <c r="AO76" s="155"/>
      <c r="AQ76" s="154"/>
      <c r="AR76" s="154"/>
      <c r="AS76" s="155"/>
      <c r="AT76" s="156"/>
      <c r="AU76" s="156"/>
    </row>
    <row r="77" spans="1:47" s="141" customFormat="1" ht="12" thickBot="1" x14ac:dyDescent="0.25">
      <c r="A77" s="198" t="s">
        <v>41</v>
      </c>
      <c r="B77" s="154">
        <v>2000</v>
      </c>
      <c r="C77" s="154">
        <f>2500+3000+3000</f>
        <v>8500</v>
      </c>
      <c r="D77" s="154">
        <f>1989+2989</f>
        <v>4978</v>
      </c>
      <c r="E77" s="155">
        <f>D77/C77</f>
        <v>0.58564705882352941</v>
      </c>
      <c r="F77" s="154"/>
      <c r="G77" s="154">
        <v>900</v>
      </c>
      <c r="H77" s="155">
        <v>1</v>
      </c>
      <c r="I77" s="154">
        <v>7350</v>
      </c>
      <c r="J77" s="154">
        <v>0</v>
      </c>
      <c r="K77" s="155"/>
      <c r="L77" s="154"/>
      <c r="M77" s="159"/>
      <c r="N77" s="155" t="e">
        <f>M77/L77</f>
        <v>#DIV/0!</v>
      </c>
      <c r="O77" s="154"/>
      <c r="P77" s="157"/>
      <c r="Q77" s="171"/>
      <c r="R77" s="154"/>
      <c r="S77" s="157"/>
      <c r="T77" s="171"/>
      <c r="U77" s="154"/>
      <c r="V77" s="154"/>
      <c r="W77" s="172"/>
      <c r="X77" s="181">
        <v>0</v>
      </c>
      <c r="Y77" s="154"/>
      <c r="Z77" s="172"/>
      <c r="AA77" s="154"/>
      <c r="AB77" s="154"/>
      <c r="AC77" s="172"/>
      <c r="AD77" s="154"/>
      <c r="AE77" s="154"/>
      <c r="AF77" s="172"/>
      <c r="AG77" s="154"/>
      <c r="AH77" s="154"/>
      <c r="AI77" s="154"/>
      <c r="AJ77" s="154"/>
      <c r="AK77" s="154"/>
      <c r="AL77" s="154"/>
      <c r="AM77" s="173">
        <f t="shared" si="28"/>
        <v>15850</v>
      </c>
      <c r="AN77" s="154">
        <f t="shared" si="28"/>
        <v>5878</v>
      </c>
      <c r="AO77" s="155">
        <f>AN77/AM77</f>
        <v>0.37085173501577284</v>
      </c>
      <c r="AQ77" s="154">
        <v>2800</v>
      </c>
      <c r="AR77" s="154">
        <v>4028</v>
      </c>
      <c r="AS77" s="155">
        <v>1.4385714285714286</v>
      </c>
      <c r="AT77" s="156">
        <f t="shared" si="27"/>
        <v>402.8</v>
      </c>
      <c r="AU77" s="156">
        <f t="shared" si="12"/>
        <v>233.33333333333334</v>
      </c>
    </row>
    <row r="78" spans="1:47" ht="15" thickBot="1" x14ac:dyDescent="0.35">
      <c r="A78" s="197" t="s">
        <v>103</v>
      </c>
      <c r="B78" s="209">
        <f>SUM(B73:B77)</f>
        <v>34194</v>
      </c>
      <c r="C78" s="209">
        <f>SUM(C73:C77)</f>
        <v>38694</v>
      </c>
      <c r="D78" s="209">
        <f>SUM(D73:D77)</f>
        <v>34822</v>
      </c>
      <c r="E78" s="211">
        <f>D78/C78</f>
        <v>0.89993280611981186</v>
      </c>
      <c r="F78" s="209">
        <f>SUM(F73:F77)</f>
        <v>50795</v>
      </c>
      <c r="G78" s="210">
        <f>SUM(G73:G77)</f>
        <v>50753</v>
      </c>
      <c r="H78" s="211">
        <f>G78/F78</f>
        <v>0.99917314696328374</v>
      </c>
      <c r="I78" s="209">
        <f>SUM(I73:I77)</f>
        <v>24080</v>
      </c>
      <c r="J78" s="212">
        <f>SUM(J73:J77)</f>
        <v>16380</v>
      </c>
      <c r="K78" s="211">
        <f>J78/I78</f>
        <v>0.68023255813953487</v>
      </c>
      <c r="L78" s="209">
        <f>SUM(L73:L77)</f>
        <v>16730</v>
      </c>
      <c r="M78" s="209">
        <f>SUM(M73:M77)</f>
        <v>0</v>
      </c>
      <c r="N78" s="211">
        <f>M78/L78</f>
        <v>0</v>
      </c>
      <c r="O78" s="213">
        <f>SUM(O73:O77)</f>
        <v>16730</v>
      </c>
      <c r="P78" s="209">
        <f>SUM(P73:P77)</f>
        <v>0</v>
      </c>
      <c r="Q78" s="214">
        <f>P78/O78</f>
        <v>0</v>
      </c>
      <c r="R78" s="210">
        <f>SUM(R73:R77)</f>
        <v>350</v>
      </c>
      <c r="S78" s="209">
        <f>SUM(S73:S77)</f>
        <v>0</v>
      </c>
      <c r="T78" s="214">
        <f>S78/R78</f>
        <v>0</v>
      </c>
      <c r="U78" s="209">
        <f>SUM(U73:U77)</f>
        <v>350</v>
      </c>
      <c r="V78" s="209">
        <f>SUM(V73:V77)</f>
        <v>0</v>
      </c>
      <c r="W78" s="211">
        <f>V78/U78</f>
        <v>0</v>
      </c>
      <c r="X78" s="209">
        <f>SUM(X73:X77)</f>
        <v>350</v>
      </c>
      <c r="Y78" s="209">
        <f>SUM(Y73:Y77)</f>
        <v>0</v>
      </c>
      <c r="Z78" s="211">
        <f>Y78/X78</f>
        <v>0</v>
      </c>
      <c r="AA78" s="209">
        <f>SUM(AA73:AA77)</f>
        <v>350</v>
      </c>
      <c r="AB78" s="209">
        <f>SUM(AB73:AB77)</f>
        <v>0</v>
      </c>
      <c r="AC78" s="211">
        <f>AB78/AA78</f>
        <v>0</v>
      </c>
      <c r="AD78" s="209">
        <f>SUM(AD73:AD77)</f>
        <v>350</v>
      </c>
      <c r="AE78" s="209">
        <f>SUM(AE73:AE77)</f>
        <v>0</v>
      </c>
      <c r="AF78" s="211">
        <f>AE78/AD78</f>
        <v>0</v>
      </c>
      <c r="AG78" s="209">
        <f>SUM(AG73:AG77)</f>
        <v>350</v>
      </c>
      <c r="AH78" s="209">
        <f>SUM(AH73:AH77)</f>
        <v>0</v>
      </c>
      <c r="AI78" s="210">
        <f>AH78/AG78</f>
        <v>0</v>
      </c>
      <c r="AJ78" s="210">
        <f>SUM(AJ73:AJ77)</f>
        <v>350</v>
      </c>
      <c r="AK78" s="210"/>
      <c r="AL78" s="210">
        <f>AK78/AJ78</f>
        <v>0</v>
      </c>
      <c r="AM78" s="210">
        <f>C78+F78+I78+L78+O78+R78+U78+X78+AA78+AD78+AG78+AJ78</f>
        <v>149479</v>
      </c>
      <c r="AN78" s="210">
        <f t="shared" si="28"/>
        <v>101955</v>
      </c>
      <c r="AO78" s="211">
        <f>AN78/AM78</f>
        <v>0.68206905317803834</v>
      </c>
      <c r="AP78" s="208"/>
      <c r="AQ78" s="210">
        <v>389184</v>
      </c>
      <c r="AR78" s="210">
        <v>317308</v>
      </c>
      <c r="AS78" s="211">
        <v>0.81531614865975988</v>
      </c>
      <c r="AT78" s="156">
        <f t="shared" si="27"/>
        <v>31730.799999999999</v>
      </c>
      <c r="AU78" s="156">
        <f t="shared" si="12"/>
        <v>32432</v>
      </c>
    </row>
    <row r="79" spans="1:47" s="141" customFormat="1" ht="12.6" thickBot="1" x14ac:dyDescent="0.3">
      <c r="A79" s="202" t="s">
        <v>147</v>
      </c>
      <c r="B79" s="203">
        <f>B70-B78</f>
        <v>-34194</v>
      </c>
      <c r="C79" s="203">
        <f>C70-C78</f>
        <v>-7952.8149999999441</v>
      </c>
      <c r="D79" s="203">
        <f>D70-D78</f>
        <v>94439</v>
      </c>
      <c r="E79" s="203"/>
      <c r="F79" s="203">
        <f>F70-F78</f>
        <v>-25718.814999999944</v>
      </c>
      <c r="G79" s="203">
        <f>G70-G78</f>
        <v>24576</v>
      </c>
      <c r="H79" s="203"/>
      <c r="I79" s="203">
        <f>I70-I78</f>
        <v>-3596.8149999999441</v>
      </c>
      <c r="J79" s="203">
        <f>J70-J78</f>
        <v>17817</v>
      </c>
      <c r="K79" s="203"/>
      <c r="L79" s="203">
        <f>L70-L78</f>
        <v>-78716.599999999991</v>
      </c>
      <c r="M79" s="203">
        <f>M70-M78</f>
        <v>-3429</v>
      </c>
      <c r="N79" s="203"/>
      <c r="O79" s="203">
        <f>O70-O78</f>
        <v>-61235.600000000006</v>
      </c>
      <c r="P79" s="203">
        <f>P70-P78</f>
        <v>0</v>
      </c>
      <c r="Q79" s="203"/>
      <c r="R79" s="203">
        <f>R70-R78</f>
        <v>67954.625</v>
      </c>
      <c r="S79" s="203">
        <f>S70-S78</f>
        <v>0</v>
      </c>
      <c r="T79" s="203"/>
      <c r="U79" s="203">
        <f>U70-U78</f>
        <v>56985.185000000027</v>
      </c>
      <c r="V79" s="203">
        <f>V70-V78</f>
        <v>0</v>
      </c>
      <c r="W79" s="203"/>
      <c r="X79" s="203">
        <f>X70-X78</f>
        <v>23871.184999999998</v>
      </c>
      <c r="Y79" s="203">
        <f>Y70-Y78</f>
        <v>0</v>
      </c>
      <c r="Z79" s="203"/>
      <c r="AA79" s="203">
        <f>AA70-AA78</f>
        <v>-21769.714999999967</v>
      </c>
      <c r="AB79" s="203">
        <f>AB70-AB78</f>
        <v>0</v>
      </c>
      <c r="AC79" s="203"/>
      <c r="AD79" s="203">
        <f>AD70-AD78</f>
        <v>35900.185000000056</v>
      </c>
      <c r="AE79" s="203">
        <f>AE70-AE78</f>
        <v>0</v>
      </c>
      <c r="AF79" s="203"/>
      <c r="AG79" s="203">
        <f>AG70-AG78</f>
        <v>80061.184999999998</v>
      </c>
      <c r="AH79" s="203">
        <f>AH70-AH78</f>
        <v>0</v>
      </c>
      <c r="AI79" s="203"/>
      <c r="AJ79" s="203">
        <f>AJ70-AJ78</f>
        <v>55758.184999999998</v>
      </c>
      <c r="AK79" s="203">
        <f>AK70-AK78</f>
        <v>0</v>
      </c>
      <c r="AL79" s="203"/>
      <c r="AM79" s="203">
        <f>AM70-AM78</f>
        <v>51748.19000000041</v>
      </c>
      <c r="AN79" s="203">
        <f>AN70-AN78</f>
        <v>133403</v>
      </c>
      <c r="AO79" s="203"/>
      <c r="AP79" s="208"/>
      <c r="AQ79" s="203"/>
      <c r="AR79" s="206"/>
      <c r="AS79" s="203"/>
      <c r="AT79" s="156"/>
      <c r="AU79" s="156">
        <f t="shared" si="12"/>
        <v>0</v>
      </c>
    </row>
    <row r="80" spans="1:47" ht="15" thickBot="1" x14ac:dyDescent="0.35">
      <c r="C80" s="234">
        <f>C79/C11</f>
        <v>-2.5583036504927676E-2</v>
      </c>
      <c r="D80" s="234">
        <f>D79/D11</f>
        <v>0.25742868435757998</v>
      </c>
      <c r="F80" s="235">
        <f>F79/F11</f>
        <v>-8.2733646263428065E-2</v>
      </c>
      <c r="G80" s="235">
        <f>G79/G11</f>
        <v>6.6871649751027176E-2</v>
      </c>
      <c r="I80" s="166">
        <f>+I79/I11</f>
        <v>-1.1570424993724945E-2</v>
      </c>
      <c r="J80" s="166">
        <f>+J79/J11</f>
        <v>7.930015399816627E-2</v>
      </c>
      <c r="AU80" s="156">
        <f t="shared" si="12"/>
        <v>0</v>
      </c>
    </row>
  </sheetData>
  <mergeCells count="33">
    <mergeCell ref="AM12:AO12"/>
    <mergeCell ref="U12:W12"/>
    <mergeCell ref="X12:Z12"/>
    <mergeCell ref="AA12:AC12"/>
    <mergeCell ref="AD12:AF12"/>
    <mergeCell ref="AG12:AI12"/>
    <mergeCell ref="AJ12:AL12"/>
    <mergeCell ref="AG5:AI5"/>
    <mergeCell ref="AJ5:AL5"/>
    <mergeCell ref="AM5:AO5"/>
    <mergeCell ref="AQ5:AS5"/>
    <mergeCell ref="C12:E12"/>
    <mergeCell ref="F12:H12"/>
    <mergeCell ref="I12:K12"/>
    <mergeCell ref="L12:N12"/>
    <mergeCell ref="O12:Q12"/>
    <mergeCell ref="R12:T12"/>
    <mergeCell ref="O5:Q5"/>
    <mergeCell ref="R5:T5"/>
    <mergeCell ref="U5:W5"/>
    <mergeCell ref="X5:Z5"/>
    <mergeCell ref="AA5:AC5"/>
    <mergeCell ref="AD5:AF5"/>
    <mergeCell ref="A1:A3"/>
    <mergeCell ref="C1:P1"/>
    <mergeCell ref="C2:P2"/>
    <mergeCell ref="C3:P3"/>
    <mergeCell ref="A5:A6"/>
    <mergeCell ref="B5:B6"/>
    <mergeCell ref="C5:E5"/>
    <mergeCell ref="F5:H5"/>
    <mergeCell ref="I5:K5"/>
    <mergeCell ref="L5:N5"/>
  </mergeCells>
  <printOptions horizontalCentered="1"/>
  <pageMargins left="0.54500000000000004" right="0" top="0" bottom="0.19685039370078741" header="0" footer="0"/>
  <pageSetup scale="62" orientation="landscape" horizontalDpi="300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X104"/>
  <sheetViews>
    <sheetView zoomScale="150" zoomScaleNormal="150" workbookViewId="0">
      <pane xSplit="1" ySplit="11" topLeftCell="L39" activePane="bottomRight" state="frozen"/>
      <selection pane="topRight" activeCell="B1" sqref="B1"/>
      <selection pane="bottomLeft" activeCell="A8" sqref="A8"/>
      <selection pane="bottomRight" activeCell="B92" sqref="B92"/>
    </sheetView>
  </sheetViews>
  <sheetFormatPr baseColWidth="10" defaultRowHeight="14.4" x14ac:dyDescent="0.3"/>
  <cols>
    <col min="1" max="1" width="34.88671875" style="29" customWidth="1"/>
    <col min="2" max="2" width="12.44140625" style="2" customWidth="1"/>
    <col min="3" max="3" width="9.88671875" style="2" customWidth="1"/>
    <col min="4" max="4" width="6.44140625" style="5" bestFit="1" customWidth="1"/>
    <col min="5" max="5" width="12.5546875" style="2" customWidth="1"/>
    <col min="6" max="6" width="9.88671875" style="2" customWidth="1"/>
    <col min="7" max="7" width="5.5546875" style="5" customWidth="1"/>
    <col min="8" max="8" width="14.33203125" style="2" customWidth="1"/>
    <col min="9" max="9" width="9.88671875" style="2" customWidth="1"/>
    <col min="10" max="10" width="10" style="5" customWidth="1"/>
    <col min="11" max="11" width="10.5546875" style="2" customWidth="1"/>
    <col min="12" max="12" width="9.88671875" style="2" customWidth="1"/>
    <col min="13" max="13" width="10.44140625" style="2" customWidth="1"/>
    <col min="14" max="14" width="10.5546875" style="2" customWidth="1"/>
    <col min="15" max="15" width="9.88671875" style="2" customWidth="1"/>
    <col min="16" max="16" width="9.109375" style="2" customWidth="1"/>
    <col min="17" max="17" width="10.5546875" style="2" customWidth="1"/>
    <col min="18" max="18" width="9.88671875" style="2" customWidth="1"/>
    <col min="19" max="19" width="10.88671875" style="2" customWidth="1"/>
    <col min="20" max="20" width="10.5546875" style="2" customWidth="1"/>
    <col min="21" max="21" width="9.88671875" style="2" customWidth="1"/>
    <col min="22" max="22" width="10" style="5" customWidth="1"/>
    <col min="23" max="23" width="10.5546875" style="2" customWidth="1"/>
    <col min="24" max="24" width="9.88671875" style="2" customWidth="1"/>
    <col min="25" max="25" width="11.109375" style="2" customWidth="1"/>
    <col min="26" max="26" width="10.5546875" style="2" customWidth="1"/>
    <col min="27" max="27" width="9.88671875" style="2" customWidth="1"/>
    <col min="28" max="28" width="7.6640625" style="2" customWidth="1"/>
    <col min="29" max="29" width="10.5546875" style="2" customWidth="1"/>
    <col min="30" max="30" width="9.88671875" style="2" customWidth="1"/>
    <col min="31" max="31" width="7.33203125" style="2" customWidth="1"/>
    <col min="32" max="32" width="10.5546875" style="2" customWidth="1"/>
    <col min="33" max="33" width="9.88671875" style="2" customWidth="1"/>
    <col min="34" max="34" width="9.6640625" style="2" customWidth="1"/>
    <col min="35" max="35" width="10.5546875" style="2" customWidth="1"/>
    <col min="36" max="36" width="9.88671875" style="2" customWidth="1"/>
    <col min="37" max="37" width="9.5546875" style="2" customWidth="1"/>
    <col min="38" max="38" width="13.33203125" style="6" customWidth="1"/>
    <col min="39" max="39" width="11.44140625" style="2" customWidth="1"/>
    <col min="40" max="40" width="7.44140625" style="2" customWidth="1"/>
    <col min="41" max="42" width="11.44140625" style="2"/>
    <col min="43" max="50" width="11.44140625"/>
  </cols>
  <sheetData>
    <row r="1" spans="1:42" x14ac:dyDescent="0.3">
      <c r="A1" s="1"/>
      <c r="B1" s="289" t="s">
        <v>0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</row>
    <row r="2" spans="1:42" x14ac:dyDescent="0.3">
      <c r="A2" s="289"/>
      <c r="B2" s="289"/>
      <c r="D2" s="3"/>
      <c r="E2" s="4"/>
      <c r="H2" s="4"/>
      <c r="K2" s="4"/>
      <c r="N2" s="4"/>
      <c r="Q2" s="4"/>
      <c r="T2" s="4"/>
      <c r="W2" s="4"/>
      <c r="Z2" s="4"/>
      <c r="AC2" s="4"/>
      <c r="AE2" s="2">
        <v>18</v>
      </c>
      <c r="AF2" s="4"/>
      <c r="AI2" s="4"/>
    </row>
    <row r="3" spans="1:42" x14ac:dyDescent="0.3">
      <c r="A3" s="1"/>
      <c r="B3" s="289" t="s">
        <v>1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L3" s="289"/>
    </row>
    <row r="4" spans="1:42" x14ac:dyDescent="0.3">
      <c r="A4" s="1"/>
      <c r="B4" s="290" t="s">
        <v>2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  <c r="AI4" s="290"/>
      <c r="AJ4" s="290"/>
      <c r="AK4" s="290"/>
      <c r="AL4" s="290"/>
    </row>
    <row r="5" spans="1:42" x14ac:dyDescent="0.3">
      <c r="A5" s="1"/>
      <c r="B5" s="225"/>
      <c r="C5" s="225"/>
      <c r="D5" s="7"/>
      <c r="E5" s="225"/>
      <c r="F5" s="225"/>
      <c r="G5" s="7"/>
      <c r="H5" s="225"/>
      <c r="I5" s="225"/>
      <c r="J5" s="7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7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</row>
    <row r="6" spans="1:42" hidden="1" x14ac:dyDescent="0.3">
      <c r="A6" s="8" t="s">
        <v>3</v>
      </c>
      <c r="B6" s="10" t="s">
        <v>5</v>
      </c>
      <c r="C6" s="11"/>
      <c r="D6" s="9"/>
      <c r="E6" s="10" t="s">
        <v>5</v>
      </c>
      <c r="F6" s="11"/>
      <c r="G6" s="12"/>
      <c r="H6" s="10" t="s">
        <v>5</v>
      </c>
      <c r="I6" s="11"/>
      <c r="J6" s="13"/>
      <c r="K6" s="10" t="s">
        <v>5</v>
      </c>
      <c r="L6" s="11"/>
      <c r="M6" s="10"/>
      <c r="N6" s="10" t="s">
        <v>5</v>
      </c>
      <c r="O6" s="11"/>
      <c r="P6" s="14"/>
      <c r="Q6" s="10" t="s">
        <v>5</v>
      </c>
      <c r="R6" s="11"/>
      <c r="S6" s="10"/>
      <c r="T6" s="10" t="s">
        <v>5</v>
      </c>
      <c r="U6" s="11"/>
      <c r="V6" s="15"/>
      <c r="W6" s="10" t="s">
        <v>5</v>
      </c>
      <c r="X6" s="11"/>
      <c r="Y6" s="10"/>
      <c r="Z6" s="10" t="s">
        <v>5</v>
      </c>
      <c r="AA6" s="11"/>
      <c r="AB6" s="14"/>
      <c r="AC6" s="10" t="s">
        <v>5</v>
      </c>
      <c r="AD6" s="11"/>
      <c r="AE6" s="10"/>
      <c r="AF6" s="10" t="s">
        <v>5</v>
      </c>
      <c r="AG6" s="11"/>
      <c r="AH6" s="16"/>
      <c r="AI6" s="10" t="s">
        <v>5</v>
      </c>
      <c r="AJ6" s="11"/>
      <c r="AK6" s="17"/>
      <c r="AL6" s="18" t="s">
        <v>13</v>
      </c>
    </row>
    <row r="7" spans="1:42" hidden="1" x14ac:dyDescent="0.3">
      <c r="A7" s="19" t="s">
        <v>14</v>
      </c>
      <c r="B7" s="20">
        <v>14704</v>
      </c>
      <c r="C7" s="20"/>
      <c r="D7" s="21"/>
      <c r="E7" s="20">
        <v>14704</v>
      </c>
      <c r="F7" s="20"/>
      <c r="G7" s="21"/>
      <c r="H7" s="20">
        <v>14704</v>
      </c>
      <c r="I7" s="20"/>
      <c r="J7" s="23"/>
      <c r="K7" s="20">
        <v>14704</v>
      </c>
      <c r="L7" s="20"/>
      <c r="M7" s="22"/>
      <c r="N7" s="20">
        <v>14704</v>
      </c>
      <c r="O7" s="20"/>
      <c r="P7" s="22"/>
      <c r="Q7" s="20">
        <v>14704</v>
      </c>
      <c r="R7" s="20"/>
      <c r="S7" s="22"/>
      <c r="T7" s="20">
        <v>14704</v>
      </c>
      <c r="U7" s="20"/>
      <c r="V7" s="23"/>
      <c r="W7" s="20">
        <v>14704</v>
      </c>
      <c r="X7" s="20"/>
      <c r="Y7" s="22"/>
      <c r="Z7" s="20">
        <v>14704</v>
      </c>
      <c r="AA7" s="20"/>
      <c r="AB7" s="22"/>
      <c r="AC7" s="20">
        <v>14704</v>
      </c>
      <c r="AD7" s="20"/>
      <c r="AE7" s="22"/>
      <c r="AF7" s="20">
        <v>14704</v>
      </c>
      <c r="AG7" s="20"/>
      <c r="AH7" s="22"/>
      <c r="AI7" s="20">
        <v>14704</v>
      </c>
      <c r="AJ7" s="20"/>
      <c r="AK7" s="22"/>
      <c r="AL7" s="24"/>
    </row>
    <row r="8" spans="1:42" hidden="1" x14ac:dyDescent="0.3">
      <c r="A8" s="19" t="s">
        <v>15</v>
      </c>
      <c r="B8" s="22">
        <v>324</v>
      </c>
      <c r="C8" s="22"/>
      <c r="D8" s="25"/>
      <c r="E8" s="22">
        <v>324</v>
      </c>
      <c r="F8" s="22"/>
      <c r="G8" s="23"/>
      <c r="H8" s="22">
        <v>324</v>
      </c>
      <c r="I8" s="22"/>
      <c r="J8" s="23"/>
      <c r="K8" s="22">
        <v>324</v>
      </c>
      <c r="L8" s="22"/>
      <c r="M8" s="22"/>
      <c r="N8" s="22">
        <v>324</v>
      </c>
      <c r="O8" s="22"/>
      <c r="P8" s="22"/>
      <c r="Q8" s="22">
        <v>324</v>
      </c>
      <c r="R8" s="22"/>
      <c r="S8" s="22"/>
      <c r="T8" s="22">
        <v>324</v>
      </c>
      <c r="U8" s="22"/>
      <c r="V8" s="23"/>
      <c r="W8" s="22">
        <v>324</v>
      </c>
      <c r="X8" s="22"/>
      <c r="Y8" s="22"/>
      <c r="Z8" s="22">
        <v>324</v>
      </c>
      <c r="AA8" s="22"/>
      <c r="AB8" s="22"/>
      <c r="AC8" s="22">
        <v>324</v>
      </c>
      <c r="AD8" s="22"/>
      <c r="AE8" s="22"/>
      <c r="AF8" s="22">
        <v>324</v>
      </c>
      <c r="AG8" s="22"/>
      <c r="AH8" s="22"/>
      <c r="AI8" s="22">
        <v>324</v>
      </c>
      <c r="AJ8" s="22"/>
      <c r="AK8" s="22"/>
      <c r="AL8" s="24"/>
    </row>
    <row r="9" spans="1:42" hidden="1" x14ac:dyDescent="0.3">
      <c r="A9" s="19" t="s">
        <v>13</v>
      </c>
      <c r="B9" s="27">
        <f>SUM(B7:B8)</f>
        <v>15028</v>
      </c>
      <c r="C9" s="27"/>
      <c r="D9" s="26"/>
      <c r="E9" s="27">
        <f>SUM(E7:E8)</f>
        <v>15028</v>
      </c>
      <c r="F9" s="27"/>
      <c r="G9" s="28"/>
      <c r="H9" s="27">
        <f>SUM(H7:H8)</f>
        <v>15028</v>
      </c>
      <c r="I9" s="27"/>
      <c r="J9" s="23"/>
      <c r="K9" s="27">
        <f>SUM(K7:K8)</f>
        <v>15028</v>
      </c>
      <c r="L9" s="27"/>
      <c r="M9" s="22"/>
      <c r="N9" s="27">
        <f>SUM(N7:N8)</f>
        <v>15028</v>
      </c>
      <c r="O9" s="27"/>
      <c r="P9" s="22"/>
      <c r="Q9" s="27">
        <f>SUM(Q7:Q8)</f>
        <v>15028</v>
      </c>
      <c r="R9" s="27"/>
      <c r="S9" s="22"/>
      <c r="T9" s="27">
        <f>SUM(T7:T8)</f>
        <v>15028</v>
      </c>
      <c r="U9" s="27"/>
      <c r="V9" s="23"/>
      <c r="W9" s="27">
        <f>SUM(W7:W8)</f>
        <v>15028</v>
      </c>
      <c r="X9" s="27"/>
      <c r="Y9" s="22"/>
      <c r="Z9" s="27">
        <f>SUM(Z7:Z8)</f>
        <v>15028</v>
      </c>
      <c r="AA9" s="27"/>
      <c r="AB9" s="22"/>
      <c r="AC9" s="27">
        <f>SUM(AC7:AC8)</f>
        <v>15028</v>
      </c>
      <c r="AD9" s="27"/>
      <c r="AE9" s="22"/>
      <c r="AF9" s="27">
        <f>SUM(AF7:AF8)</f>
        <v>15028</v>
      </c>
      <c r="AG9" s="27"/>
      <c r="AH9" s="22"/>
      <c r="AI9" s="27">
        <f>SUM(AI7:AI8)</f>
        <v>15028</v>
      </c>
      <c r="AJ9" s="27"/>
      <c r="AK9" s="22"/>
      <c r="AL9" s="24"/>
    </row>
    <row r="10" spans="1:42" ht="15" thickBot="1" x14ac:dyDescent="0.35">
      <c r="B10" s="31"/>
      <c r="C10" s="31"/>
      <c r="D10" s="30"/>
      <c r="E10" s="31"/>
      <c r="F10" s="31"/>
      <c r="G10" s="32"/>
      <c r="H10" s="31"/>
      <c r="I10" s="31"/>
      <c r="J10" s="32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2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3"/>
      <c r="AM10" s="34"/>
      <c r="AN10" s="34"/>
    </row>
    <row r="11" spans="1:42" s="35" customFormat="1" ht="22.5" customHeight="1" thickTop="1" thickBot="1" x14ac:dyDescent="0.35">
      <c r="A11" s="291" t="s">
        <v>16</v>
      </c>
      <c r="B11" s="292" t="s">
        <v>4</v>
      </c>
      <c r="C11" s="293"/>
      <c r="D11" s="294"/>
      <c r="E11" s="295" t="s">
        <v>5</v>
      </c>
      <c r="F11" s="296"/>
      <c r="G11" s="297"/>
      <c r="H11" s="298" t="s">
        <v>6</v>
      </c>
      <c r="I11" s="299"/>
      <c r="J11" s="292"/>
      <c r="K11" s="300" t="s">
        <v>7</v>
      </c>
      <c r="L11" s="296"/>
      <c r="M11" s="297"/>
      <c r="N11" s="298" t="s">
        <v>8</v>
      </c>
      <c r="O11" s="299"/>
      <c r="P11" s="292"/>
      <c r="Q11" s="300" t="s">
        <v>9</v>
      </c>
      <c r="R11" s="296"/>
      <c r="S11" s="297"/>
      <c r="T11" s="298" t="s">
        <v>10</v>
      </c>
      <c r="U11" s="299"/>
      <c r="V11" s="292"/>
      <c r="W11" s="300" t="s">
        <v>11</v>
      </c>
      <c r="X11" s="296"/>
      <c r="Y11" s="297"/>
      <c r="Z11" s="298" t="s">
        <v>12</v>
      </c>
      <c r="AA11" s="299"/>
      <c r="AB11" s="292"/>
      <c r="AC11" s="300" t="s">
        <v>17</v>
      </c>
      <c r="AD11" s="296"/>
      <c r="AE11" s="297"/>
      <c r="AF11" s="298" t="s">
        <v>18</v>
      </c>
      <c r="AG11" s="299"/>
      <c r="AH11" s="292"/>
      <c r="AI11" s="300" t="s">
        <v>19</v>
      </c>
      <c r="AJ11" s="296"/>
      <c r="AK11" s="296"/>
      <c r="AL11" s="293" t="s">
        <v>20</v>
      </c>
      <c r="AM11" s="293"/>
      <c r="AN11" s="293"/>
    </row>
    <row r="12" spans="1:42" s="2" customFormat="1" ht="11.4" thickTop="1" thickBot="1" x14ac:dyDescent="0.25">
      <c r="A12" s="291"/>
      <c r="B12" s="37" t="s">
        <v>21</v>
      </c>
      <c r="C12" s="37" t="s">
        <v>22</v>
      </c>
      <c r="D12" s="36" t="s">
        <v>23</v>
      </c>
      <c r="E12" s="37" t="s">
        <v>21</v>
      </c>
      <c r="F12" s="37" t="s">
        <v>22</v>
      </c>
      <c r="G12" s="36" t="s">
        <v>23</v>
      </c>
      <c r="H12" s="37" t="s">
        <v>21</v>
      </c>
      <c r="I12" s="37" t="s">
        <v>22</v>
      </c>
      <c r="J12" s="36" t="s">
        <v>23</v>
      </c>
      <c r="K12" s="37" t="s">
        <v>21</v>
      </c>
      <c r="L12" s="37" t="s">
        <v>22</v>
      </c>
      <c r="M12" s="37" t="s">
        <v>23</v>
      </c>
      <c r="N12" s="37" t="s">
        <v>21</v>
      </c>
      <c r="O12" s="37" t="s">
        <v>22</v>
      </c>
      <c r="P12" s="37" t="s">
        <v>23</v>
      </c>
      <c r="Q12" s="37" t="s">
        <v>21</v>
      </c>
      <c r="R12" s="37" t="s">
        <v>22</v>
      </c>
      <c r="S12" s="37" t="s">
        <v>23</v>
      </c>
      <c r="T12" s="37" t="s">
        <v>21</v>
      </c>
      <c r="U12" s="37" t="s">
        <v>22</v>
      </c>
      <c r="V12" s="36" t="s">
        <v>23</v>
      </c>
      <c r="W12" s="37" t="s">
        <v>21</v>
      </c>
      <c r="X12" s="37" t="s">
        <v>22</v>
      </c>
      <c r="Y12" s="37" t="s">
        <v>23</v>
      </c>
      <c r="Z12" s="37" t="s">
        <v>21</v>
      </c>
      <c r="AA12" s="37" t="s">
        <v>22</v>
      </c>
      <c r="AB12" s="37" t="s">
        <v>23</v>
      </c>
      <c r="AC12" s="37" t="s">
        <v>21</v>
      </c>
      <c r="AD12" s="37" t="s">
        <v>22</v>
      </c>
      <c r="AE12" s="37" t="s">
        <v>23</v>
      </c>
      <c r="AF12" s="37" t="s">
        <v>21</v>
      </c>
      <c r="AG12" s="37" t="s">
        <v>22</v>
      </c>
      <c r="AH12" s="37" t="s">
        <v>23</v>
      </c>
      <c r="AI12" s="37" t="s">
        <v>21</v>
      </c>
      <c r="AJ12" s="37" t="s">
        <v>22</v>
      </c>
      <c r="AK12" s="38" t="s">
        <v>23</v>
      </c>
      <c r="AL12" s="37" t="s">
        <v>21</v>
      </c>
      <c r="AM12" s="37" t="s">
        <v>22</v>
      </c>
      <c r="AN12" s="37" t="s">
        <v>23</v>
      </c>
    </row>
    <row r="13" spans="1:42" s="46" customFormat="1" ht="15.6" thickTop="1" thickBot="1" x14ac:dyDescent="0.35">
      <c r="A13" s="39" t="s">
        <v>24</v>
      </c>
      <c r="B13" s="41"/>
      <c r="C13" s="42"/>
      <c r="D13" s="40"/>
      <c r="E13" s="41"/>
      <c r="F13" s="42"/>
      <c r="G13" s="42"/>
      <c r="H13" s="41"/>
      <c r="I13" s="42"/>
      <c r="J13" s="40"/>
      <c r="K13" s="41"/>
      <c r="L13" s="42"/>
      <c r="M13" s="40"/>
      <c r="N13" s="41"/>
      <c r="O13" s="42"/>
      <c r="P13" s="40"/>
      <c r="Q13" s="41"/>
      <c r="R13" s="42"/>
      <c r="S13" s="40"/>
      <c r="T13" s="41"/>
      <c r="U13" s="42"/>
      <c r="V13" s="40"/>
      <c r="W13" s="41"/>
      <c r="X13" s="42"/>
      <c r="Y13" s="40"/>
      <c r="Z13" s="41"/>
      <c r="AA13" s="42"/>
      <c r="AB13" s="40"/>
      <c r="AC13" s="41"/>
      <c r="AD13" s="42"/>
      <c r="AE13" s="40"/>
      <c r="AF13" s="41"/>
      <c r="AG13" s="42"/>
      <c r="AH13" s="40"/>
      <c r="AI13" s="41"/>
      <c r="AJ13" s="42"/>
      <c r="AK13" s="43"/>
      <c r="AL13" s="40"/>
      <c r="AM13" s="40"/>
      <c r="AN13" s="44"/>
      <c r="AO13" s="45"/>
      <c r="AP13" s="45"/>
    </row>
    <row r="14" spans="1:42" s="46" customFormat="1" ht="15" thickTop="1" x14ac:dyDescent="0.3">
      <c r="A14" s="47" t="s">
        <v>25</v>
      </c>
      <c r="B14" s="48">
        <v>0</v>
      </c>
      <c r="C14" s="51">
        <f>B14</f>
        <v>0</v>
      </c>
      <c r="D14" s="50">
        <v>0</v>
      </c>
      <c r="E14" s="48">
        <f>'[1]flujo de caja diario'!$M$4</f>
        <v>334193</v>
      </c>
      <c r="F14" s="51">
        <f>'[1]flujo de caja diario'!$M$8</f>
        <v>7120090</v>
      </c>
      <c r="G14" s="52">
        <f>F14/E14</f>
        <v>21.30532357051165</v>
      </c>
      <c r="H14" s="48">
        <v>7120090</v>
      </c>
      <c r="I14" s="51">
        <v>7120090</v>
      </c>
      <c r="J14" s="50">
        <f>I14/H14</f>
        <v>1</v>
      </c>
      <c r="K14" s="48">
        <v>2000000</v>
      </c>
      <c r="L14" s="51">
        <f>K14</f>
        <v>2000000</v>
      </c>
      <c r="M14" s="50">
        <f>L14/K14</f>
        <v>1</v>
      </c>
      <c r="N14" s="48">
        <v>2000000</v>
      </c>
      <c r="O14" s="51"/>
      <c r="P14" s="50">
        <f>O14/N14</f>
        <v>0</v>
      </c>
      <c r="Q14" s="48">
        <v>2000000</v>
      </c>
      <c r="R14" s="51"/>
      <c r="S14" s="50">
        <f>R14/Q14</f>
        <v>0</v>
      </c>
      <c r="T14" s="48">
        <v>2000000</v>
      </c>
      <c r="U14" s="51"/>
      <c r="V14" s="50">
        <f>U14/T14</f>
        <v>0</v>
      </c>
      <c r="W14" s="48">
        <v>2000000</v>
      </c>
      <c r="X14" s="51"/>
      <c r="Y14" s="50">
        <f>X14/W14</f>
        <v>0</v>
      </c>
      <c r="Z14" s="48">
        <v>2000000</v>
      </c>
      <c r="AA14" s="51"/>
      <c r="AB14" s="53">
        <f>AA14/Z14</f>
        <v>0</v>
      </c>
      <c r="AC14" s="48">
        <v>2000000</v>
      </c>
      <c r="AD14" s="51"/>
      <c r="AE14" s="53"/>
      <c r="AF14" s="48">
        <v>2000000</v>
      </c>
      <c r="AG14" s="51"/>
      <c r="AH14" s="49"/>
      <c r="AI14" s="48">
        <v>2000000</v>
      </c>
      <c r="AJ14" s="51"/>
      <c r="AK14" s="55"/>
      <c r="AL14" s="49">
        <f>B14+E14+H14+K14+N14+Q14+T14+W14+Z14+AC14+AF14+AI14</f>
        <v>25454283</v>
      </c>
      <c r="AM14" s="54">
        <f>C14+F14+I14+L14+O14+R14+U14+X14+AA14+AD14+AG14+AJ14</f>
        <v>16240180</v>
      </c>
      <c r="AN14" s="53">
        <f>AM14/AL14</f>
        <v>0.63801364980502495</v>
      </c>
      <c r="AO14" s="45"/>
      <c r="AP14" s="45"/>
    </row>
    <row r="15" spans="1:42" s="46" customFormat="1" x14ac:dyDescent="0.3">
      <c r="A15" s="56" t="s">
        <v>26</v>
      </c>
      <c r="B15" s="48">
        <v>400000</v>
      </c>
      <c r="C15" s="49">
        <f>B15</f>
        <v>400000</v>
      </c>
      <c r="D15" s="50">
        <f>C15/B15</f>
        <v>1</v>
      </c>
      <c r="E15" s="48">
        <v>400000</v>
      </c>
      <c r="F15" s="49">
        <f>E15</f>
        <v>400000</v>
      </c>
      <c r="G15" s="52">
        <f>F15/E15</f>
        <v>1</v>
      </c>
      <c r="H15" s="48">
        <v>400000</v>
      </c>
      <c r="I15" s="51">
        <f>H15</f>
        <v>400000</v>
      </c>
      <c r="J15" s="50">
        <f>I15/H15</f>
        <v>1</v>
      </c>
      <c r="K15" s="48">
        <v>400000</v>
      </c>
      <c r="L15" s="49">
        <f>K15</f>
        <v>400000</v>
      </c>
      <c r="M15" s="50">
        <f>L15/K15</f>
        <v>1</v>
      </c>
      <c r="N15" s="48">
        <v>400000</v>
      </c>
      <c r="O15" s="49"/>
      <c r="P15" s="50">
        <f>O15/N15</f>
        <v>0</v>
      </c>
      <c r="Q15" s="48">
        <v>400000</v>
      </c>
      <c r="R15" s="49"/>
      <c r="S15" s="50">
        <f>R15/Q15</f>
        <v>0</v>
      </c>
      <c r="T15" s="48">
        <v>400000</v>
      </c>
      <c r="U15" s="49"/>
      <c r="V15" s="50">
        <f>U15/T15</f>
        <v>0</v>
      </c>
      <c r="W15" s="48">
        <v>400000</v>
      </c>
      <c r="X15" s="49"/>
      <c r="Y15" s="50">
        <f t="shared" ref="Y15:Y81" si="0">X15/W15</f>
        <v>0</v>
      </c>
      <c r="Z15" s="48">
        <v>400000</v>
      </c>
      <c r="AA15" s="49"/>
      <c r="AB15" s="53">
        <f>AA15/Z15</f>
        <v>0</v>
      </c>
      <c r="AC15" s="48">
        <v>400000</v>
      </c>
      <c r="AD15" s="49"/>
      <c r="AE15" s="53"/>
      <c r="AF15" s="48">
        <v>400000</v>
      </c>
      <c r="AG15" s="49"/>
      <c r="AH15" s="57"/>
      <c r="AI15" s="48">
        <v>400000</v>
      </c>
      <c r="AJ15" s="49"/>
      <c r="AK15" s="58"/>
      <c r="AL15" s="49">
        <f t="shared" ref="AL15:AM17" si="1">B15+E15+H15+K15+N15+Q15+T15+W15+Z15+AC15+AF15+AI15</f>
        <v>4800000</v>
      </c>
      <c r="AM15" s="54">
        <f t="shared" si="1"/>
        <v>1600000</v>
      </c>
      <c r="AN15" s="53">
        <f>AM15/AL15</f>
        <v>0.33333333333333331</v>
      </c>
      <c r="AO15" s="45"/>
      <c r="AP15" s="45"/>
    </row>
    <row r="16" spans="1:42" s="46" customFormat="1" ht="15" thickBot="1" x14ac:dyDescent="0.35">
      <c r="A16" s="59" t="s">
        <v>27</v>
      </c>
      <c r="B16" s="60">
        <f>[2]Banco!$B$106</f>
        <v>109764834</v>
      </c>
      <c r="C16" s="63">
        <f>B16</f>
        <v>109764834</v>
      </c>
      <c r="D16" s="62">
        <f>C16/B16</f>
        <v>1</v>
      </c>
      <c r="E16" s="60">
        <f>[1]Banco!$B$8</f>
        <v>65722442</v>
      </c>
      <c r="F16" s="63">
        <f>E16</f>
        <v>65722442</v>
      </c>
      <c r="G16" s="52">
        <f>F16/E16</f>
        <v>1</v>
      </c>
      <c r="H16" s="60">
        <f>[1]Banco!$B$12</f>
        <v>72562806.130481243</v>
      </c>
      <c r="I16" s="51">
        <f>[1]Banco!$B$12</f>
        <v>72562806.130481243</v>
      </c>
      <c r="J16" s="50">
        <f>I16/H16</f>
        <v>1</v>
      </c>
      <c r="K16" s="60">
        <f>[1]Banco!$B$17</f>
        <v>90885148</v>
      </c>
      <c r="L16" s="63">
        <f>K16</f>
        <v>90885148</v>
      </c>
      <c r="M16" s="50">
        <f>L16/K16</f>
        <v>1</v>
      </c>
      <c r="N16" s="60">
        <v>20000000</v>
      </c>
      <c r="O16" s="63"/>
      <c r="P16" s="50">
        <f>O16/N16</f>
        <v>0</v>
      </c>
      <c r="Q16" s="60">
        <f>N93</f>
        <v>9436451</v>
      </c>
      <c r="R16" s="63"/>
      <c r="S16" s="50">
        <f>R16/Q16</f>
        <v>0</v>
      </c>
      <c r="T16" s="60">
        <v>5000000</v>
      </c>
      <c r="U16" s="63"/>
      <c r="V16" s="50">
        <f>U16/T16</f>
        <v>0</v>
      </c>
      <c r="W16" s="60">
        <v>5000000</v>
      </c>
      <c r="X16" s="63"/>
      <c r="Y16" s="50">
        <f t="shared" si="0"/>
        <v>0</v>
      </c>
      <c r="Z16" s="60">
        <v>5000000</v>
      </c>
      <c r="AA16" s="63"/>
      <c r="AB16" s="53">
        <f>AA16/Z16</f>
        <v>0</v>
      </c>
      <c r="AC16" s="60">
        <v>5000000</v>
      </c>
      <c r="AD16" s="63"/>
      <c r="AE16" s="53"/>
      <c r="AF16" s="60">
        <v>5000000</v>
      </c>
      <c r="AG16" s="63"/>
      <c r="AH16" s="61"/>
      <c r="AI16" s="60">
        <v>5000000</v>
      </c>
      <c r="AJ16" s="63"/>
      <c r="AK16" s="65"/>
      <c r="AL16" s="49">
        <f t="shared" si="1"/>
        <v>398371681.13048124</v>
      </c>
      <c r="AM16" s="64">
        <f t="shared" si="1"/>
        <v>338935230.13048124</v>
      </c>
      <c r="AN16" s="66">
        <f>AM16/AL16</f>
        <v>0.85080151573190665</v>
      </c>
      <c r="AO16" s="45"/>
      <c r="AP16" s="45"/>
    </row>
    <row r="17" spans="1:50" s="46" customFormat="1" ht="15.6" thickTop="1" thickBot="1" x14ac:dyDescent="0.35">
      <c r="A17" s="67" t="s">
        <v>28</v>
      </c>
      <c r="B17" s="68">
        <f>SUM(B14:B16)</f>
        <v>110164834</v>
      </c>
      <c r="C17" s="70">
        <f>SUM(C14:C16)</f>
        <v>110164834</v>
      </c>
      <c r="D17" s="69">
        <f>C17/B17</f>
        <v>1</v>
      </c>
      <c r="E17" s="68">
        <f>SUM(E14:E16)</f>
        <v>66456635</v>
      </c>
      <c r="F17" s="70">
        <f>SUM(F14:F16)</f>
        <v>73242532</v>
      </c>
      <c r="G17" s="71">
        <f>F17/E17</f>
        <v>1.102110150476322</v>
      </c>
      <c r="H17" s="68">
        <f>SUM(H14:H16)</f>
        <v>80082896.130481243</v>
      </c>
      <c r="I17" s="70">
        <f>SUM(I14:I16)</f>
        <v>80082896.130481243</v>
      </c>
      <c r="J17" s="69">
        <f>I17/H17</f>
        <v>1</v>
      </c>
      <c r="K17" s="68">
        <f>SUM(K14:K16)</f>
        <v>93285148</v>
      </c>
      <c r="L17" s="70">
        <f>SUM(L14:L16)</f>
        <v>93285148</v>
      </c>
      <c r="M17" s="69">
        <f>L17/K17</f>
        <v>1</v>
      </c>
      <c r="N17" s="68">
        <f>SUM(N14:N16)</f>
        <v>22400000</v>
      </c>
      <c r="O17" s="70">
        <f>SUM(O14:O16)</f>
        <v>0</v>
      </c>
      <c r="P17" s="69">
        <f>O17/N17</f>
        <v>0</v>
      </c>
      <c r="Q17" s="68">
        <f>SUM(Q14:Q16)</f>
        <v>11836451</v>
      </c>
      <c r="R17" s="70">
        <f>SUM(R14:R16)</f>
        <v>0</v>
      </c>
      <c r="S17" s="69">
        <f>R17/Q17</f>
        <v>0</v>
      </c>
      <c r="T17" s="68">
        <f>SUM(T14:T16)</f>
        <v>7400000</v>
      </c>
      <c r="U17" s="70">
        <f>SUM(U14:U16)</f>
        <v>0</v>
      </c>
      <c r="V17" s="69">
        <f>U17/T17</f>
        <v>0</v>
      </c>
      <c r="W17" s="68">
        <f>SUM(W14:W16)</f>
        <v>7400000</v>
      </c>
      <c r="X17" s="70">
        <f>SUM(X14:X16)</f>
        <v>0</v>
      </c>
      <c r="Y17" s="69">
        <f t="shared" si="0"/>
        <v>0</v>
      </c>
      <c r="Z17" s="68">
        <f>SUM(Z14:Z16)</f>
        <v>7400000</v>
      </c>
      <c r="AA17" s="70">
        <f>SUM(AA14:AA16)</f>
        <v>0</v>
      </c>
      <c r="AB17" s="69">
        <f>AA17/Z17</f>
        <v>0</v>
      </c>
      <c r="AC17" s="68">
        <f>SUM(AC14:AC16)</f>
        <v>7400000</v>
      </c>
      <c r="AD17" s="70">
        <f>SUM(AD14:AD16)</f>
        <v>0</v>
      </c>
      <c r="AE17" s="73"/>
      <c r="AF17" s="68">
        <f>SUM(AF14:AF16)</f>
        <v>7400000</v>
      </c>
      <c r="AG17" s="70">
        <f>SUM(AG14:AG16)</f>
        <v>0</v>
      </c>
      <c r="AH17" s="68"/>
      <c r="AI17" s="68">
        <f>SUM(AI14:AI16)</f>
        <v>7400000</v>
      </c>
      <c r="AJ17" s="70">
        <f>SUM(AJ14:AJ16)</f>
        <v>0</v>
      </c>
      <c r="AK17" s="74"/>
      <c r="AL17" s="68">
        <f t="shared" si="1"/>
        <v>428625964.13048124</v>
      </c>
      <c r="AM17" s="72">
        <f t="shared" si="1"/>
        <v>356775410.13048124</v>
      </c>
      <c r="AN17" s="73">
        <f>AM17/AL17</f>
        <v>0.8323700381852569</v>
      </c>
      <c r="AO17" s="45"/>
      <c r="AP17" s="45"/>
    </row>
    <row r="18" spans="1:50" ht="15.6" thickTop="1" thickBot="1" x14ac:dyDescent="0.35">
      <c r="A18" s="75" t="s">
        <v>29</v>
      </c>
      <c r="B18" s="77"/>
      <c r="C18" s="78"/>
      <c r="D18" s="76"/>
      <c r="E18" s="77"/>
      <c r="F18" s="78"/>
      <c r="G18" s="78"/>
      <c r="H18" s="77"/>
      <c r="I18" s="78"/>
      <c r="J18" s="76"/>
      <c r="K18" s="77"/>
      <c r="L18" s="78"/>
      <c r="M18" s="76"/>
      <c r="N18" s="77"/>
      <c r="O18" s="78"/>
      <c r="P18" s="79"/>
      <c r="Q18" s="77"/>
      <c r="R18" s="78"/>
      <c r="S18" s="50"/>
      <c r="T18" s="77"/>
      <c r="U18" s="78"/>
      <c r="V18" s="76"/>
      <c r="W18" s="77"/>
      <c r="X18" s="78"/>
      <c r="Y18" s="76"/>
      <c r="Z18" s="77"/>
      <c r="AA18" s="78"/>
      <c r="AB18" s="76"/>
      <c r="AC18" s="77"/>
      <c r="AD18" s="78"/>
      <c r="AE18" s="76"/>
      <c r="AF18" s="77"/>
      <c r="AG18" s="78"/>
      <c r="AH18" s="76"/>
      <c r="AI18" s="77"/>
      <c r="AJ18" s="78"/>
      <c r="AK18" s="80"/>
      <c r="AL18" s="76"/>
      <c r="AM18" s="76"/>
      <c r="AN18" s="79"/>
    </row>
    <row r="19" spans="1:50" s="46" customFormat="1" ht="15" thickTop="1" x14ac:dyDescent="0.3">
      <c r="A19" s="47" t="s">
        <v>30</v>
      </c>
      <c r="B19" s="48" t="e">
        <f>'[1]relacion de Recaudo'!$C$34</f>
        <v>#REF!</v>
      </c>
      <c r="C19" s="49" t="e">
        <f>'[1]relacion de Recaudo'!$E$34</f>
        <v>#REF!</v>
      </c>
      <c r="D19" s="50">
        <v>0</v>
      </c>
      <c r="E19" s="48" t="e">
        <f>'[1]relacion de Recaudo'!$F$34</f>
        <v>#REF!</v>
      </c>
      <c r="F19" s="49" t="e">
        <f>'[1]relacion de Recaudo'!$H$34</f>
        <v>#REF!</v>
      </c>
      <c r="G19" s="52" t="e">
        <f>F19/E19</f>
        <v>#REF!</v>
      </c>
      <c r="H19" s="48" t="e">
        <f>'[1]relacion de Recaudo'!$I$34</f>
        <v>#REF!</v>
      </c>
      <c r="I19" s="49">
        <f>'[1]relacion de Recaudo'!$K$34</f>
        <v>113000</v>
      </c>
      <c r="J19" s="50" t="e">
        <f>I19/H19</f>
        <v>#REF!</v>
      </c>
      <c r="K19" s="48">
        <f>'[1]relacion de Recaudo'!$L$34</f>
        <v>0</v>
      </c>
      <c r="L19" s="49">
        <f>'[1]relacion de Recaudo'!$N$34</f>
        <v>71000</v>
      </c>
      <c r="M19" s="50" t="e">
        <f>L19/K19</f>
        <v>#DIV/0!</v>
      </c>
      <c r="N19" s="48">
        <v>180000000</v>
      </c>
      <c r="O19" s="49"/>
      <c r="P19" s="50">
        <f>O19/N19</f>
        <v>0</v>
      </c>
      <c r="Q19" s="48">
        <v>180000000</v>
      </c>
      <c r="R19" s="49"/>
      <c r="S19" s="50">
        <f>R19/Q19</f>
        <v>0</v>
      </c>
      <c r="T19" s="48">
        <v>180000000</v>
      </c>
      <c r="U19" s="49"/>
      <c r="V19" s="50">
        <f>U19/T19</f>
        <v>0</v>
      </c>
      <c r="W19" s="48">
        <v>180000000</v>
      </c>
      <c r="X19" s="49"/>
      <c r="Y19" s="50">
        <f t="shared" si="0"/>
        <v>0</v>
      </c>
      <c r="Z19" s="48">
        <v>180000000</v>
      </c>
      <c r="AA19" s="49"/>
      <c r="AB19" s="53">
        <f>AA19/Z19</f>
        <v>0</v>
      </c>
      <c r="AC19" s="48">
        <v>180000000</v>
      </c>
      <c r="AD19" s="49"/>
      <c r="AE19" s="53"/>
      <c r="AF19" s="48">
        <v>180000000</v>
      </c>
      <c r="AG19" s="49"/>
      <c r="AH19" s="53"/>
      <c r="AI19" s="48">
        <v>180000000</v>
      </c>
      <c r="AJ19" s="49"/>
      <c r="AK19" s="55"/>
      <c r="AL19" s="49" t="e">
        <f t="shared" ref="AL19:AM25" si="2">B19+E19+H19+K19+N19+Q19+T19+W19+Z19+AC19+AF19+AI19</f>
        <v>#REF!</v>
      </c>
      <c r="AM19" s="54" t="e">
        <f t="shared" si="2"/>
        <v>#REF!</v>
      </c>
      <c r="AN19" s="53" t="e">
        <f>AM19/AL19</f>
        <v>#REF!</v>
      </c>
      <c r="AO19" s="45"/>
      <c r="AP19" s="45"/>
    </row>
    <row r="20" spans="1:50" s="46" customFormat="1" x14ac:dyDescent="0.3">
      <c r="A20" s="56" t="s">
        <v>31</v>
      </c>
      <c r="B20" s="48">
        <v>146484</v>
      </c>
      <c r="C20" s="49">
        <f>B20</f>
        <v>146484</v>
      </c>
      <c r="D20" s="50">
        <f>C20/B20</f>
        <v>1</v>
      </c>
      <c r="E20" s="48">
        <v>146484</v>
      </c>
      <c r="F20" s="49">
        <f>E20</f>
        <v>146484</v>
      </c>
      <c r="G20" s="52">
        <f t="shared" ref="G20:G25" si="3">F20/E20</f>
        <v>1</v>
      </c>
      <c r="H20" s="48">
        <v>146484</v>
      </c>
      <c r="I20" s="49"/>
      <c r="J20" s="50">
        <f t="shared" ref="J20:J25" si="4">I20/H20</f>
        <v>0</v>
      </c>
      <c r="K20" s="48">
        <v>146484</v>
      </c>
      <c r="L20" s="49"/>
      <c r="M20" s="49">
        <f>L20</f>
        <v>0</v>
      </c>
      <c r="N20" s="48">
        <v>146484</v>
      </c>
      <c r="O20" s="49"/>
      <c r="P20" s="50">
        <f t="shared" ref="P20:P26" si="5">O20/N20</f>
        <v>0</v>
      </c>
      <c r="Q20" s="48">
        <v>146484</v>
      </c>
      <c r="R20" s="49"/>
      <c r="S20" s="49">
        <f t="shared" ref="S20:S26" si="6">R20/Q20</f>
        <v>0</v>
      </c>
      <c r="T20" s="48">
        <v>146484</v>
      </c>
      <c r="U20" s="49"/>
      <c r="V20" s="50">
        <f t="shared" ref="V20:V25" si="7">U20/T20</f>
        <v>0</v>
      </c>
      <c r="W20" s="48">
        <v>146484</v>
      </c>
      <c r="X20" s="49"/>
      <c r="Y20" s="50">
        <f t="shared" si="0"/>
        <v>0</v>
      </c>
      <c r="Z20" s="48">
        <v>146484</v>
      </c>
      <c r="AA20" s="49"/>
      <c r="AB20" s="50">
        <f t="shared" ref="AB20:AB26" si="8">AA20/Z20</f>
        <v>0</v>
      </c>
      <c r="AC20" s="48">
        <v>146484</v>
      </c>
      <c r="AD20" s="49"/>
      <c r="AE20" s="54"/>
      <c r="AF20" s="48">
        <v>146484</v>
      </c>
      <c r="AG20" s="49"/>
      <c r="AH20" s="54"/>
      <c r="AI20" s="48">
        <v>146484</v>
      </c>
      <c r="AJ20" s="49"/>
      <c r="AK20" s="54"/>
      <c r="AL20" s="49">
        <f t="shared" si="2"/>
        <v>1757808</v>
      </c>
      <c r="AM20" s="54">
        <f t="shared" si="2"/>
        <v>292968</v>
      </c>
      <c r="AN20" s="53">
        <f t="shared" ref="AN20:AN25" si="9">AM20/AL20</f>
        <v>0.16666666666666666</v>
      </c>
      <c r="AO20" s="45"/>
      <c r="AP20" s="45"/>
    </row>
    <row r="21" spans="1:50" s="46" customFormat="1" x14ac:dyDescent="0.3">
      <c r="A21" s="56" t="s">
        <v>32</v>
      </c>
      <c r="B21" s="48">
        <v>5000000</v>
      </c>
      <c r="C21" s="49">
        <v>7107351</v>
      </c>
      <c r="D21" s="50">
        <f>C21/B21</f>
        <v>1.4214701999999999</v>
      </c>
      <c r="E21" s="48">
        <v>5000000</v>
      </c>
      <c r="F21" s="49">
        <v>6471967</v>
      </c>
      <c r="G21" s="52">
        <f t="shared" si="3"/>
        <v>1.2943933999999999</v>
      </c>
      <c r="H21" s="48">
        <v>5000000</v>
      </c>
      <c r="I21" s="49"/>
      <c r="J21" s="50">
        <f t="shared" si="4"/>
        <v>0</v>
      </c>
      <c r="K21" s="48">
        <v>2000000</v>
      </c>
      <c r="L21" s="49"/>
      <c r="M21" s="50">
        <f t="shared" ref="M21:M26" si="10">L21/K21</f>
        <v>0</v>
      </c>
      <c r="N21" s="48">
        <v>2000000</v>
      </c>
      <c r="O21" s="49"/>
      <c r="P21" s="50">
        <f t="shared" si="5"/>
        <v>0</v>
      </c>
      <c r="Q21" s="48">
        <v>5000000</v>
      </c>
      <c r="R21" s="49"/>
      <c r="S21" s="50">
        <f t="shared" si="6"/>
        <v>0</v>
      </c>
      <c r="T21" s="48">
        <v>5000000</v>
      </c>
      <c r="U21" s="49"/>
      <c r="V21" s="50">
        <f t="shared" si="7"/>
        <v>0</v>
      </c>
      <c r="W21" s="48">
        <v>5000000</v>
      </c>
      <c r="X21" s="49"/>
      <c r="Y21" s="50">
        <f t="shared" si="0"/>
        <v>0</v>
      </c>
      <c r="Z21" s="48">
        <v>5000000</v>
      </c>
      <c r="AA21" s="49"/>
      <c r="AB21" s="50">
        <f t="shared" si="8"/>
        <v>0</v>
      </c>
      <c r="AC21" s="48">
        <v>5000000</v>
      </c>
      <c r="AD21" s="49"/>
      <c r="AE21" s="53"/>
      <c r="AF21" s="48">
        <v>5000000</v>
      </c>
      <c r="AG21" s="49"/>
      <c r="AH21" s="49"/>
      <c r="AI21" s="48">
        <v>5000000</v>
      </c>
      <c r="AJ21" s="49"/>
      <c r="AK21" s="55"/>
      <c r="AL21" s="49">
        <f t="shared" si="2"/>
        <v>54000000</v>
      </c>
      <c r="AM21" s="54">
        <f t="shared" si="2"/>
        <v>13579318</v>
      </c>
      <c r="AN21" s="53">
        <f t="shared" si="9"/>
        <v>0.25146885185185186</v>
      </c>
      <c r="AO21" s="45"/>
      <c r="AP21" s="45"/>
    </row>
    <row r="22" spans="1:50" s="46" customFormat="1" x14ac:dyDescent="0.3">
      <c r="A22" s="56" t="s">
        <v>33</v>
      </c>
      <c r="B22" s="48">
        <v>20000000</v>
      </c>
      <c r="C22" s="49">
        <f>36719055-C23</f>
        <v>31365775</v>
      </c>
      <c r="D22" s="50">
        <f>C22/B22</f>
        <v>1.56828875</v>
      </c>
      <c r="E22" s="48">
        <v>20000000</v>
      </c>
      <c r="F22" s="49">
        <v>25815872</v>
      </c>
      <c r="G22" s="50">
        <f>F22/E22</f>
        <v>1.2907936</v>
      </c>
      <c r="H22" s="48">
        <v>20000000</v>
      </c>
      <c r="I22" s="49"/>
      <c r="J22" s="50">
        <f>I22/H22</f>
        <v>0</v>
      </c>
      <c r="K22" s="48">
        <v>4000000</v>
      </c>
      <c r="L22" s="49"/>
      <c r="M22" s="50">
        <f t="shared" si="10"/>
        <v>0</v>
      </c>
      <c r="N22" s="48">
        <v>4000000</v>
      </c>
      <c r="O22" s="49"/>
      <c r="P22" s="50">
        <f>O22/N22</f>
        <v>0</v>
      </c>
      <c r="Q22" s="48">
        <v>20000000</v>
      </c>
      <c r="R22" s="49"/>
      <c r="S22" s="50">
        <f>R22/Q22</f>
        <v>0</v>
      </c>
      <c r="T22" s="48">
        <v>20000000</v>
      </c>
      <c r="U22" s="49"/>
      <c r="V22" s="50">
        <f>U22/T22</f>
        <v>0</v>
      </c>
      <c r="W22" s="48">
        <v>20000000</v>
      </c>
      <c r="X22" s="49"/>
      <c r="Y22" s="50">
        <f>X22/W22</f>
        <v>0</v>
      </c>
      <c r="Z22" s="48">
        <v>20000000</v>
      </c>
      <c r="AA22" s="49"/>
      <c r="AB22" s="50">
        <f>AA22/Z22</f>
        <v>0</v>
      </c>
      <c r="AC22" s="48">
        <v>20000000</v>
      </c>
      <c r="AD22" s="49"/>
      <c r="AE22" s="50">
        <f>AD22/AC22</f>
        <v>0</v>
      </c>
      <c r="AF22" s="48">
        <v>20000000</v>
      </c>
      <c r="AG22" s="49"/>
      <c r="AH22" s="50">
        <f>AG22/AF22</f>
        <v>0</v>
      </c>
      <c r="AI22" s="48">
        <v>20000000</v>
      </c>
      <c r="AJ22" s="49"/>
      <c r="AK22" s="50">
        <f>AJ22/AI22</f>
        <v>0</v>
      </c>
      <c r="AL22" s="49">
        <f t="shared" si="2"/>
        <v>208000000</v>
      </c>
      <c r="AM22" s="54">
        <f t="shared" si="2"/>
        <v>57181647</v>
      </c>
      <c r="AN22" s="53">
        <f t="shared" si="9"/>
        <v>0.27491176442307691</v>
      </c>
      <c r="AO22" s="45"/>
      <c r="AP22" s="45"/>
    </row>
    <row r="23" spans="1:50" s="46" customFormat="1" x14ac:dyDescent="0.3">
      <c r="A23" s="81" t="s">
        <v>34</v>
      </c>
      <c r="B23" s="82">
        <v>4000000</v>
      </c>
      <c r="C23" s="57">
        <v>5353280</v>
      </c>
      <c r="D23" s="83">
        <f>C23/B23</f>
        <v>1.33832</v>
      </c>
      <c r="E23" s="82">
        <v>5000000</v>
      </c>
      <c r="F23" s="57">
        <v>3708720</v>
      </c>
      <c r="G23" s="52">
        <f t="shared" si="3"/>
        <v>0.74174399999999996</v>
      </c>
      <c r="H23" s="82">
        <v>5000000</v>
      </c>
      <c r="I23" s="57"/>
      <c r="J23" s="52">
        <f>I23/H23</f>
        <v>0</v>
      </c>
      <c r="K23" s="82">
        <v>1500000</v>
      </c>
      <c r="L23" s="57"/>
      <c r="M23" s="52">
        <f t="shared" si="10"/>
        <v>0</v>
      </c>
      <c r="N23" s="82">
        <v>1500000</v>
      </c>
      <c r="O23" s="57"/>
      <c r="P23" s="52">
        <f>O23/N23</f>
        <v>0</v>
      </c>
      <c r="Q23" s="82">
        <v>5000000</v>
      </c>
      <c r="R23" s="57"/>
      <c r="S23" s="52">
        <f>R23/Q23</f>
        <v>0</v>
      </c>
      <c r="T23" s="82">
        <v>5000000</v>
      </c>
      <c r="U23" s="57"/>
      <c r="V23" s="52">
        <f>U23/T23</f>
        <v>0</v>
      </c>
      <c r="W23" s="82">
        <v>5000000</v>
      </c>
      <c r="X23" s="57"/>
      <c r="Y23" s="52">
        <f>X23/W23</f>
        <v>0</v>
      </c>
      <c r="Z23" s="82">
        <v>5000000</v>
      </c>
      <c r="AA23" s="57"/>
      <c r="AB23" s="52">
        <f>AA23/Z23</f>
        <v>0</v>
      </c>
      <c r="AC23" s="82">
        <v>5000000</v>
      </c>
      <c r="AD23" s="57"/>
      <c r="AE23" s="52">
        <f>AD23/AC23</f>
        <v>0</v>
      </c>
      <c r="AF23" s="82">
        <v>5000000</v>
      </c>
      <c r="AG23" s="57"/>
      <c r="AH23" s="52">
        <f>AG23/AF23</f>
        <v>0</v>
      </c>
      <c r="AI23" s="82">
        <v>5000000</v>
      </c>
      <c r="AJ23" s="57"/>
      <c r="AK23" s="52">
        <f>AJ23/AI23</f>
        <v>0</v>
      </c>
      <c r="AL23" s="49">
        <f t="shared" si="2"/>
        <v>52000000</v>
      </c>
      <c r="AM23" s="54">
        <f t="shared" si="2"/>
        <v>9062000</v>
      </c>
      <c r="AN23" s="53">
        <f t="shared" si="9"/>
        <v>0.17426923076923076</v>
      </c>
      <c r="AO23" s="45"/>
      <c r="AP23" s="45"/>
    </row>
    <row r="24" spans="1:50" s="84" customFormat="1" x14ac:dyDescent="0.3">
      <c r="A24" s="56" t="s">
        <v>35</v>
      </c>
      <c r="B24" s="48">
        <v>50000</v>
      </c>
      <c r="C24" s="49">
        <v>0</v>
      </c>
      <c r="D24" s="50">
        <f>C24/B24</f>
        <v>0</v>
      </c>
      <c r="E24" s="48">
        <v>50000</v>
      </c>
      <c r="F24" s="49">
        <f>E24</f>
        <v>50000</v>
      </c>
      <c r="G24" s="52">
        <f t="shared" si="3"/>
        <v>1</v>
      </c>
      <c r="H24" s="48">
        <v>50000</v>
      </c>
      <c r="I24" s="49"/>
      <c r="J24" s="50">
        <f t="shared" si="4"/>
        <v>0</v>
      </c>
      <c r="K24" s="48">
        <v>50000</v>
      </c>
      <c r="L24" s="49"/>
      <c r="M24" s="50">
        <f t="shared" si="10"/>
        <v>0</v>
      </c>
      <c r="N24" s="48">
        <v>50000</v>
      </c>
      <c r="O24" s="49"/>
      <c r="P24" s="50">
        <f t="shared" si="5"/>
        <v>0</v>
      </c>
      <c r="Q24" s="48">
        <v>50000</v>
      </c>
      <c r="R24" s="49"/>
      <c r="S24" s="50">
        <f t="shared" si="6"/>
        <v>0</v>
      </c>
      <c r="T24" s="48">
        <v>50000</v>
      </c>
      <c r="U24" s="49"/>
      <c r="V24" s="50">
        <f t="shared" si="7"/>
        <v>0</v>
      </c>
      <c r="W24" s="48">
        <v>50000</v>
      </c>
      <c r="X24" s="49"/>
      <c r="Y24" s="50">
        <f t="shared" si="0"/>
        <v>0</v>
      </c>
      <c r="Z24" s="48">
        <v>50000</v>
      </c>
      <c r="AA24" s="49"/>
      <c r="AB24" s="50">
        <f t="shared" si="8"/>
        <v>0</v>
      </c>
      <c r="AC24" s="48">
        <v>50000</v>
      </c>
      <c r="AD24" s="49"/>
      <c r="AE24" s="53"/>
      <c r="AF24" s="48">
        <v>50000</v>
      </c>
      <c r="AG24" s="49"/>
      <c r="AH24" s="49"/>
      <c r="AI24" s="48">
        <v>50000</v>
      </c>
      <c r="AJ24" s="49"/>
      <c r="AK24" s="55"/>
      <c r="AL24" s="49">
        <f t="shared" si="2"/>
        <v>600000</v>
      </c>
      <c r="AM24" s="54">
        <f t="shared" si="2"/>
        <v>50000</v>
      </c>
      <c r="AN24" s="53">
        <f t="shared" si="9"/>
        <v>8.3333333333333329E-2</v>
      </c>
      <c r="AO24" s="45"/>
      <c r="AP24" s="45"/>
      <c r="AQ24" s="46"/>
      <c r="AR24" s="46"/>
      <c r="AS24" s="46"/>
      <c r="AT24" s="46"/>
      <c r="AU24" s="46"/>
      <c r="AV24" s="46"/>
      <c r="AW24" s="46"/>
      <c r="AX24" s="46"/>
    </row>
    <row r="25" spans="1:50" s="46" customFormat="1" ht="18.75" customHeight="1" thickBot="1" x14ac:dyDescent="0.35">
      <c r="A25" s="85" t="s">
        <v>13</v>
      </c>
      <c r="B25" s="60" t="e">
        <f>SUM(B19:B24)</f>
        <v>#REF!</v>
      </c>
      <c r="C25" s="60" t="e">
        <f>SUM(C19:C24)</f>
        <v>#REF!</v>
      </c>
      <c r="D25" s="61">
        <v>100</v>
      </c>
      <c r="E25" s="60" t="e">
        <f>SUM(E19:E24)</f>
        <v>#REF!</v>
      </c>
      <c r="F25" s="60" t="e">
        <f>SUM(F19:F24)</f>
        <v>#REF!</v>
      </c>
      <c r="G25" s="52" t="e">
        <f t="shared" si="3"/>
        <v>#REF!</v>
      </c>
      <c r="H25" s="60" t="e">
        <f>SUM(H19:H24)</f>
        <v>#REF!</v>
      </c>
      <c r="I25" s="60">
        <f>SUM(I19:I24)</f>
        <v>113000</v>
      </c>
      <c r="J25" s="50" t="e">
        <f t="shared" si="4"/>
        <v>#REF!</v>
      </c>
      <c r="K25" s="60">
        <f>SUM(K19:K24)</f>
        <v>7696484</v>
      </c>
      <c r="L25" s="60">
        <f>SUM(L19:L24)</f>
        <v>71000</v>
      </c>
      <c r="M25" s="50">
        <f t="shared" si="10"/>
        <v>9.2249915675781304E-3</v>
      </c>
      <c r="N25" s="60">
        <f>SUM(N19:N24)</f>
        <v>187696484</v>
      </c>
      <c r="O25" s="61"/>
      <c r="P25" s="50">
        <f t="shared" si="5"/>
        <v>0</v>
      </c>
      <c r="Q25" s="60">
        <f>SUM(Q19:Q24)</f>
        <v>210196484</v>
      </c>
      <c r="R25" s="61"/>
      <c r="S25" s="50">
        <f t="shared" si="6"/>
        <v>0</v>
      </c>
      <c r="T25" s="60">
        <f>SUM(T19:T24)</f>
        <v>210196484</v>
      </c>
      <c r="U25" s="61"/>
      <c r="V25" s="50">
        <f t="shared" si="7"/>
        <v>0</v>
      </c>
      <c r="W25" s="60">
        <f>SUM(W19:W24)</f>
        <v>210196484</v>
      </c>
      <c r="X25" s="61"/>
      <c r="Y25" s="50">
        <f t="shared" si="0"/>
        <v>0</v>
      </c>
      <c r="Z25" s="60">
        <f>SUM(Z19:Z24)</f>
        <v>210196484</v>
      </c>
      <c r="AA25" s="61"/>
      <c r="AB25" s="50">
        <f t="shared" si="8"/>
        <v>0</v>
      </c>
      <c r="AC25" s="60">
        <f>SUM(AC19:AC24)</f>
        <v>210196484</v>
      </c>
      <c r="AD25" s="61"/>
      <c r="AE25" s="53"/>
      <c r="AF25" s="60">
        <f>SUM(AF19:AF24)</f>
        <v>210196484</v>
      </c>
      <c r="AG25" s="61"/>
      <c r="AH25" s="61"/>
      <c r="AI25" s="60">
        <f>SUM(AI19:AI24)</f>
        <v>210196484</v>
      </c>
      <c r="AJ25" s="61"/>
      <c r="AK25" s="65"/>
      <c r="AL25" s="86" t="e">
        <f t="shared" si="2"/>
        <v>#REF!</v>
      </c>
      <c r="AM25" s="87" t="e">
        <f t="shared" si="2"/>
        <v>#REF!</v>
      </c>
      <c r="AN25" s="53" t="e">
        <f t="shared" si="9"/>
        <v>#REF!</v>
      </c>
      <c r="AO25" s="45"/>
      <c r="AP25" s="45"/>
    </row>
    <row r="26" spans="1:50" ht="15.6" thickTop="1" thickBot="1" x14ac:dyDescent="0.35">
      <c r="A26" s="67" t="s">
        <v>36</v>
      </c>
      <c r="B26" s="68" t="e">
        <f>B17+B25</f>
        <v>#REF!</v>
      </c>
      <c r="C26" s="68" t="e">
        <f>C17+C25</f>
        <v>#REF!</v>
      </c>
      <c r="D26" s="69" t="e">
        <f>C26/B26</f>
        <v>#REF!</v>
      </c>
      <c r="E26" s="68" t="e">
        <f>E17+E25</f>
        <v>#REF!</v>
      </c>
      <c r="F26" s="68" t="e">
        <f>F17+F25</f>
        <v>#REF!</v>
      </c>
      <c r="G26" s="69" t="e">
        <f>F26/E26</f>
        <v>#REF!</v>
      </c>
      <c r="H26" s="68" t="e">
        <f>H17+H25</f>
        <v>#REF!</v>
      </c>
      <c r="I26" s="68">
        <f>I17+I25</f>
        <v>80195896.130481243</v>
      </c>
      <c r="J26" s="69" t="e">
        <f>I26/H26</f>
        <v>#REF!</v>
      </c>
      <c r="K26" s="68">
        <f>K17+K25</f>
        <v>100981632</v>
      </c>
      <c r="L26" s="68">
        <f>L17+L25</f>
        <v>93356148</v>
      </c>
      <c r="M26" s="69">
        <f t="shared" si="10"/>
        <v>0.92448642541249482</v>
      </c>
      <c r="N26" s="68">
        <f>N17+N25</f>
        <v>210096484</v>
      </c>
      <c r="O26" s="68">
        <f>O17+O25</f>
        <v>0</v>
      </c>
      <c r="P26" s="69">
        <f t="shared" si="5"/>
        <v>0</v>
      </c>
      <c r="Q26" s="68">
        <f>Q17+Q25</f>
        <v>222032935</v>
      </c>
      <c r="R26" s="68">
        <f>R17+R25</f>
        <v>0</v>
      </c>
      <c r="S26" s="69">
        <f t="shared" si="6"/>
        <v>0</v>
      </c>
      <c r="T26" s="68">
        <f>T17+T25</f>
        <v>217596484</v>
      </c>
      <c r="U26" s="68">
        <f>U17+U25</f>
        <v>0</v>
      </c>
      <c r="V26" s="69">
        <f>U26/T26</f>
        <v>0</v>
      </c>
      <c r="W26" s="68">
        <f>W17+W25</f>
        <v>217596484</v>
      </c>
      <c r="X26" s="68">
        <f>X17+X25</f>
        <v>0</v>
      </c>
      <c r="Y26" s="69">
        <f t="shared" si="0"/>
        <v>0</v>
      </c>
      <c r="Z26" s="68">
        <f>Z17+Z25</f>
        <v>217596484</v>
      </c>
      <c r="AA26" s="68">
        <f>AA17+AA25</f>
        <v>0</v>
      </c>
      <c r="AB26" s="69">
        <f t="shared" si="8"/>
        <v>0</v>
      </c>
      <c r="AC26" s="68">
        <f>AC17+AC25</f>
        <v>217596484</v>
      </c>
      <c r="AD26" s="68">
        <f>AD17+AD25</f>
        <v>0</v>
      </c>
      <c r="AE26" s="69"/>
      <c r="AF26" s="68">
        <f>AF17+AF25</f>
        <v>217596484</v>
      </c>
      <c r="AG26" s="68">
        <f>AG17+AG25</f>
        <v>0</v>
      </c>
      <c r="AH26" s="69"/>
      <c r="AI26" s="68">
        <f>AI17+AI25</f>
        <v>217596484</v>
      </c>
      <c r="AJ26" s="68">
        <f>AJ17+AJ25</f>
        <v>0</v>
      </c>
      <c r="AK26" s="69"/>
      <c r="AL26" s="68" t="e">
        <f>AL25+AL17</f>
        <v>#REF!</v>
      </c>
      <c r="AM26" s="72" t="e">
        <f>C26+F26+I26+L26+O26+R26+U26+X26+AA26+AD26+AG26+AJ26</f>
        <v>#REF!</v>
      </c>
      <c r="AN26" s="73" t="e">
        <f>AM26/AL26</f>
        <v>#REF!</v>
      </c>
    </row>
    <row r="27" spans="1:50" ht="15.6" thickTop="1" thickBot="1" x14ac:dyDescent="0.35">
      <c r="A27" s="75" t="s">
        <v>37</v>
      </c>
      <c r="B27" s="41"/>
      <c r="C27" s="89"/>
      <c r="D27" s="88"/>
      <c r="E27" s="41"/>
      <c r="F27" s="89"/>
      <c r="G27" s="89"/>
      <c r="H27" s="41"/>
      <c r="I27" s="89"/>
      <c r="J27" s="88"/>
      <c r="K27" s="41"/>
      <c r="L27" s="89"/>
      <c r="M27" s="88"/>
      <c r="N27" s="41"/>
      <c r="O27" s="89"/>
      <c r="P27" s="88"/>
      <c r="Q27" s="41"/>
      <c r="R27" s="89"/>
      <c r="S27" s="50"/>
      <c r="T27" s="41"/>
      <c r="U27" s="89"/>
      <c r="V27" s="88"/>
      <c r="W27" s="41"/>
      <c r="X27" s="89"/>
      <c r="Y27" s="88"/>
      <c r="Z27" s="41"/>
      <c r="AA27" s="89"/>
      <c r="AB27" s="88"/>
      <c r="AC27" s="41"/>
      <c r="AD27" s="89"/>
      <c r="AE27" s="88"/>
      <c r="AF27" s="41"/>
      <c r="AG27" s="89"/>
      <c r="AH27" s="88"/>
      <c r="AI27" s="41"/>
      <c r="AJ27" s="89"/>
      <c r="AK27" s="90"/>
      <c r="AL27" s="76"/>
      <c r="AM27" s="79"/>
      <c r="AN27" s="79"/>
    </row>
    <row r="28" spans="1:50" s="46" customFormat="1" ht="15" thickTop="1" x14ac:dyDescent="0.3">
      <c r="A28" s="91" t="s">
        <v>38</v>
      </c>
      <c r="B28" s="41"/>
      <c r="C28" s="42"/>
      <c r="D28" s="40"/>
      <c r="E28" s="41"/>
      <c r="F28" s="42"/>
      <c r="G28" s="42"/>
      <c r="H28" s="41"/>
      <c r="I28" s="42"/>
      <c r="J28" s="40"/>
      <c r="K28" s="41"/>
      <c r="L28" s="42"/>
      <c r="M28" s="40"/>
      <c r="N28" s="41"/>
      <c r="O28" s="42"/>
      <c r="P28" s="40"/>
      <c r="Q28" s="41"/>
      <c r="R28" s="42"/>
      <c r="S28" s="50"/>
      <c r="T28" s="41"/>
      <c r="U28" s="42"/>
      <c r="V28" s="40"/>
      <c r="W28" s="41"/>
      <c r="X28" s="42"/>
      <c r="Y28" s="40"/>
      <c r="Z28" s="41"/>
      <c r="AA28" s="42"/>
      <c r="AB28" s="40"/>
      <c r="AC28" s="41"/>
      <c r="AD28" s="42"/>
      <c r="AE28" s="40"/>
      <c r="AF28" s="41"/>
      <c r="AG28" s="42"/>
      <c r="AH28" s="40"/>
      <c r="AI28" s="41"/>
      <c r="AJ28" s="42"/>
      <c r="AK28" s="43"/>
      <c r="AL28" s="44"/>
      <c r="AM28" s="93"/>
      <c r="AN28" s="93"/>
      <c r="AO28" s="45"/>
      <c r="AP28" s="45"/>
    </row>
    <row r="29" spans="1:50" s="46" customFormat="1" x14ac:dyDescent="0.3">
      <c r="A29" s="56" t="s">
        <v>39</v>
      </c>
      <c r="B29" s="94">
        <v>13364813</v>
      </c>
      <c r="C29" s="51">
        <f>'[1]Relación Egresos'!$D$95</f>
        <v>13364813</v>
      </c>
      <c r="D29" s="50">
        <f>C29/B29</f>
        <v>1</v>
      </c>
      <c r="E29" s="94">
        <f>B29</f>
        <v>13364813</v>
      </c>
      <c r="F29" s="51">
        <v>0</v>
      </c>
      <c r="G29" s="52">
        <f>F29/E29</f>
        <v>0</v>
      </c>
      <c r="H29" s="94">
        <v>1615180</v>
      </c>
      <c r="I29" s="51">
        <v>0</v>
      </c>
      <c r="J29" s="50">
        <f>I29/H29</f>
        <v>0</v>
      </c>
      <c r="K29" s="94">
        <v>0</v>
      </c>
      <c r="L29" s="51">
        <v>0</v>
      </c>
      <c r="M29" s="50" t="e">
        <f>L29/K29</f>
        <v>#DIV/0!</v>
      </c>
      <c r="N29" s="48"/>
      <c r="O29" s="51"/>
      <c r="P29" s="50"/>
      <c r="Q29" s="48"/>
      <c r="R29" s="51"/>
      <c r="S29" s="50"/>
      <c r="T29" s="48"/>
      <c r="U29" s="51"/>
      <c r="V29" s="50"/>
      <c r="W29" s="48"/>
      <c r="X29" s="51"/>
      <c r="Y29" s="50"/>
      <c r="Z29" s="48"/>
      <c r="AA29" s="51"/>
      <c r="AB29" s="50"/>
      <c r="AC29" s="48"/>
      <c r="AD29" s="51"/>
      <c r="AE29" s="53"/>
      <c r="AF29" s="48"/>
      <c r="AG29" s="51"/>
      <c r="AH29" s="49"/>
      <c r="AI29" s="48"/>
      <c r="AJ29" s="51"/>
      <c r="AK29" s="55"/>
      <c r="AL29" s="49">
        <f>B29+E29+H29+K29+N29+Q29+T29+W29+Z29+AC29+AF29+AI29</f>
        <v>28344806</v>
      </c>
      <c r="AM29" s="54">
        <f>C29+F29+I29+L29+O29+R29+U29+X29+AA29+AD29+AG29+AJ29</f>
        <v>13364813</v>
      </c>
      <c r="AN29" s="53">
        <f t="shared" ref="AN29:AN34" si="11">AM29/AL29</f>
        <v>0.47150836029712112</v>
      </c>
      <c r="AO29" s="45"/>
      <c r="AP29" s="95"/>
    </row>
    <row r="30" spans="1:50" s="46" customFormat="1" x14ac:dyDescent="0.3">
      <c r="A30" s="56" t="s">
        <v>96</v>
      </c>
      <c r="B30" s="94">
        <v>0</v>
      </c>
      <c r="C30" s="51"/>
      <c r="D30" s="50"/>
      <c r="E30" s="94">
        <v>0</v>
      </c>
      <c r="F30" s="51"/>
      <c r="G30" s="52"/>
      <c r="H30" s="94">
        <v>0</v>
      </c>
      <c r="I30" s="51">
        <v>0</v>
      </c>
      <c r="J30" s="50"/>
      <c r="K30" s="94">
        <v>0</v>
      </c>
      <c r="L30" s="51">
        <v>0</v>
      </c>
      <c r="M30" s="50"/>
      <c r="N30" s="48"/>
      <c r="O30" s="51"/>
      <c r="P30" s="50" t="e">
        <f t="shared" ref="P30:P41" si="12">O30/N30</f>
        <v>#DIV/0!</v>
      </c>
      <c r="Q30" s="48"/>
      <c r="R30" s="51"/>
      <c r="S30" s="50" t="e">
        <f>R30/Q30</f>
        <v>#DIV/0!</v>
      </c>
      <c r="T30" s="48"/>
      <c r="U30" s="51"/>
      <c r="V30" s="50" t="e">
        <f>U30/T30</f>
        <v>#DIV/0!</v>
      </c>
      <c r="W30" s="48"/>
      <c r="X30" s="51"/>
      <c r="Y30" s="50" t="e">
        <f>X30/W30</f>
        <v>#DIV/0!</v>
      </c>
      <c r="Z30" s="48"/>
      <c r="AA30" s="51"/>
      <c r="AB30" s="50" t="e">
        <f>AA30/Z30</f>
        <v>#DIV/0!</v>
      </c>
      <c r="AC30" s="48"/>
      <c r="AD30" s="51"/>
      <c r="AE30" s="50" t="e">
        <f>AD30/AC30</f>
        <v>#DIV/0!</v>
      </c>
      <c r="AF30" s="48"/>
      <c r="AG30" s="51"/>
      <c r="AH30" s="50" t="e">
        <f>AG30/AF30</f>
        <v>#DIV/0!</v>
      </c>
      <c r="AI30" s="48"/>
      <c r="AJ30" s="51"/>
      <c r="AK30" s="50" t="e">
        <f>AJ30/AI30</f>
        <v>#DIV/0!</v>
      </c>
      <c r="AL30" s="49">
        <f>B30+E30+H30+K30+N30+Q30+T30+W30+Z30+AC30+AF30+AI30</f>
        <v>0</v>
      </c>
      <c r="AM30" s="54"/>
      <c r="AN30" s="53"/>
      <c r="AO30" s="45"/>
      <c r="AP30" s="95"/>
    </row>
    <row r="31" spans="1:50" s="46" customFormat="1" x14ac:dyDescent="0.3">
      <c r="A31" s="56" t="s">
        <v>40</v>
      </c>
      <c r="B31" s="94">
        <v>4676138</v>
      </c>
      <c r="C31" s="51">
        <f>'[1]Relación Egresos'!$D$94</f>
        <v>4691354</v>
      </c>
      <c r="D31" s="50">
        <f t="shared" ref="D31:D38" si="13">C31/B31</f>
        <v>1.0032539672695715</v>
      </c>
      <c r="E31" s="94">
        <v>4692000</v>
      </c>
      <c r="F31" s="51">
        <f>'[1]Relación Egresos'!$D$223</f>
        <v>4694490</v>
      </c>
      <c r="G31" s="52">
        <f t="shared" ref="G31:G37" si="14">F31/E31</f>
        <v>1.0005306905370843</v>
      </c>
      <c r="H31" s="94">
        <v>4676138</v>
      </c>
      <c r="I31" s="51">
        <f>'[1]Relación Egresos'!$D$316</f>
        <v>4697656</v>
      </c>
      <c r="J31" s="50">
        <f>I31/H31</f>
        <v>1.0046016606011199</v>
      </c>
      <c r="K31" s="94">
        <v>4676138</v>
      </c>
      <c r="L31" s="51"/>
      <c r="M31" s="50">
        <f>L31/K31</f>
        <v>0</v>
      </c>
      <c r="N31" s="94">
        <v>4676138</v>
      </c>
      <c r="O31" s="51"/>
      <c r="P31" s="50">
        <f t="shared" si="12"/>
        <v>0</v>
      </c>
      <c r="Q31" s="94">
        <v>0</v>
      </c>
      <c r="R31" s="51"/>
      <c r="S31" s="50" t="e">
        <f>R31/Q31</f>
        <v>#DIV/0!</v>
      </c>
      <c r="T31" s="94"/>
      <c r="U31" s="51"/>
      <c r="V31" s="50" t="e">
        <f t="shared" ref="V31:V41" si="15">U31/T31</f>
        <v>#DIV/0!</v>
      </c>
      <c r="W31" s="94"/>
      <c r="X31" s="51"/>
      <c r="Y31" s="50" t="e">
        <f t="shared" si="0"/>
        <v>#DIV/0!</v>
      </c>
      <c r="Z31" s="94"/>
      <c r="AA31" s="51"/>
      <c r="AB31" s="50" t="e">
        <f t="shared" ref="AB31:AB41" si="16">AA31/Z31</f>
        <v>#DIV/0!</v>
      </c>
      <c r="AC31" s="94"/>
      <c r="AD31" s="51"/>
      <c r="AE31" s="53"/>
      <c r="AF31" s="94"/>
      <c r="AG31" s="51"/>
      <c r="AH31" s="49"/>
      <c r="AI31" s="94"/>
      <c r="AJ31" s="51"/>
      <c r="AK31" s="55"/>
      <c r="AL31" s="49">
        <f>B31+E31+H31+K31+N31+Q31+T31+W31+Z31+AC31+AF31+AI31</f>
        <v>23396552</v>
      </c>
      <c r="AM31" s="54">
        <f t="shared" ref="AM31:AM87" si="17">C31+F31+I31+L31+O31+R31+U31+X31+AA31+AD31+AG31+AJ31</f>
        <v>14083500</v>
      </c>
      <c r="AN31" s="53">
        <f t="shared" si="11"/>
        <v>0.60194767160562801</v>
      </c>
      <c r="AO31" s="45"/>
      <c r="AP31" s="95"/>
    </row>
    <row r="32" spans="1:50" s="46" customFormat="1" x14ac:dyDescent="0.3">
      <c r="A32" s="56" t="s">
        <v>41</v>
      </c>
      <c r="B32" s="48">
        <v>2500000</v>
      </c>
      <c r="C32" s="51">
        <f>'[1]Relación Egresos'!$E$13</f>
        <v>1989000</v>
      </c>
      <c r="D32" s="50">
        <v>0</v>
      </c>
      <c r="E32" s="48">
        <v>0</v>
      </c>
      <c r="F32" s="51"/>
      <c r="G32" s="52">
        <v>0</v>
      </c>
      <c r="H32" s="48"/>
      <c r="I32" s="51"/>
      <c r="J32" s="50"/>
      <c r="K32" s="48"/>
      <c r="L32" s="51"/>
      <c r="M32" s="50"/>
      <c r="N32" s="48"/>
      <c r="O32" s="51"/>
      <c r="P32" s="50"/>
      <c r="Q32" s="48"/>
      <c r="R32" s="51"/>
      <c r="S32" s="50"/>
      <c r="T32" s="48"/>
      <c r="U32" s="51"/>
      <c r="V32" s="50"/>
      <c r="W32" s="48"/>
      <c r="X32" s="51"/>
      <c r="Y32" s="50"/>
      <c r="Z32" s="48"/>
      <c r="AA32" s="51"/>
      <c r="AB32" s="50"/>
      <c r="AC32" s="48"/>
      <c r="AD32" s="51"/>
      <c r="AE32" s="53"/>
      <c r="AF32" s="48"/>
      <c r="AG32" s="51"/>
      <c r="AH32" s="49"/>
      <c r="AI32" s="48"/>
      <c r="AJ32" s="51"/>
      <c r="AK32" s="55"/>
      <c r="AL32" s="49">
        <f>B32+E32+H32+K32+N32+Q32+T32+AC32+AF32+AI32</f>
        <v>2500000</v>
      </c>
      <c r="AM32" s="54">
        <f t="shared" si="17"/>
        <v>1989000</v>
      </c>
      <c r="AN32" s="53">
        <f t="shared" si="11"/>
        <v>0.79559999999999997</v>
      </c>
      <c r="AO32" s="45"/>
      <c r="AP32" s="45"/>
    </row>
    <row r="33" spans="1:42" s="46" customFormat="1" x14ac:dyDescent="0.3">
      <c r="A33" s="56" t="s">
        <v>42</v>
      </c>
      <c r="B33" s="48">
        <f>11709505</f>
        <v>11709505</v>
      </c>
      <c r="C33" s="51">
        <f>'[1]Relación Egresos'!$D$96</f>
        <v>11709505</v>
      </c>
      <c r="D33" s="50">
        <f t="shared" si="13"/>
        <v>1</v>
      </c>
      <c r="E33" s="48">
        <f>11709505</f>
        <v>11709505</v>
      </c>
      <c r="F33" s="51">
        <f>'[1]Relación Egresos'!$D$222</f>
        <v>11709505</v>
      </c>
      <c r="G33" s="52">
        <f t="shared" si="14"/>
        <v>1</v>
      </c>
      <c r="H33" s="48">
        <f>11709505</f>
        <v>11709505</v>
      </c>
      <c r="I33" s="51">
        <f>'[1]Relación Egresos'!$D$315</f>
        <v>11709505</v>
      </c>
      <c r="J33" s="50">
        <f>I33/H33</f>
        <v>1</v>
      </c>
      <c r="K33" s="48">
        <f>11709505</f>
        <v>11709505</v>
      </c>
      <c r="L33" s="51"/>
      <c r="M33" s="50">
        <f>L33/K33</f>
        <v>0</v>
      </c>
      <c r="N33" s="48"/>
      <c r="O33" s="51"/>
      <c r="P33" s="50"/>
      <c r="Q33" s="48"/>
      <c r="R33" s="51"/>
      <c r="S33" s="50"/>
      <c r="T33" s="48"/>
      <c r="U33" s="51"/>
      <c r="V33" s="50" t="e">
        <f t="shared" si="15"/>
        <v>#DIV/0!</v>
      </c>
      <c r="W33" s="48"/>
      <c r="X33" s="51"/>
      <c r="Y33" s="50" t="e">
        <f t="shared" si="0"/>
        <v>#DIV/0!</v>
      </c>
      <c r="Z33" s="48"/>
      <c r="AA33" s="51"/>
      <c r="AB33" s="50" t="e">
        <f t="shared" si="16"/>
        <v>#DIV/0!</v>
      </c>
      <c r="AC33" s="48"/>
      <c r="AD33" s="51"/>
      <c r="AE33" s="53"/>
      <c r="AF33" s="48"/>
      <c r="AG33" s="51"/>
      <c r="AH33" s="49"/>
      <c r="AI33" s="48"/>
      <c r="AJ33" s="51"/>
      <c r="AK33" s="55"/>
      <c r="AL33" s="49">
        <f>B33+E33+H33+K33+N33+Q33+T33+AC33+AF33+AI33</f>
        <v>46838020</v>
      </c>
      <c r="AM33" s="54">
        <f t="shared" si="17"/>
        <v>35128515</v>
      </c>
      <c r="AN33" s="53"/>
      <c r="AO33" s="45"/>
      <c r="AP33" s="95"/>
    </row>
    <row r="34" spans="1:42" s="46" customFormat="1" x14ac:dyDescent="0.3">
      <c r="A34" s="56" t="s">
        <v>43</v>
      </c>
      <c r="B34" s="48">
        <v>1351641</v>
      </c>
      <c r="C34" s="51">
        <f>'[1]Relación Egresos'!$D$69</f>
        <v>1351641</v>
      </c>
      <c r="D34" s="50">
        <f t="shared" si="13"/>
        <v>1</v>
      </c>
      <c r="E34" s="48">
        <f>1351641*2</f>
        <v>2703282</v>
      </c>
      <c r="F34" s="51">
        <f>'[1]Relación Egresos'!$D$154+'[1]Relación Egresos'!$D$153</f>
        <v>2703282</v>
      </c>
      <c r="G34" s="52">
        <f t="shared" si="14"/>
        <v>1</v>
      </c>
      <c r="H34" s="48">
        <v>1351641</v>
      </c>
      <c r="I34" s="51">
        <v>0</v>
      </c>
      <c r="J34" s="50">
        <f>I34/H34</f>
        <v>0</v>
      </c>
      <c r="K34" s="48">
        <v>1351641</v>
      </c>
      <c r="L34" s="51"/>
      <c r="M34" s="50">
        <f>L34/K34</f>
        <v>0</v>
      </c>
      <c r="N34" s="48">
        <v>1351641</v>
      </c>
      <c r="O34" s="51"/>
      <c r="P34" s="50">
        <f t="shared" si="12"/>
        <v>0</v>
      </c>
      <c r="Q34" s="48">
        <v>1351641</v>
      </c>
      <c r="R34" s="51"/>
      <c r="S34" s="50">
        <f>R34/Q34</f>
        <v>0</v>
      </c>
      <c r="T34" s="48">
        <v>1351641</v>
      </c>
      <c r="U34" s="51"/>
      <c r="V34" s="50">
        <f t="shared" si="15"/>
        <v>0</v>
      </c>
      <c r="W34" s="48">
        <v>1351641</v>
      </c>
      <c r="X34" s="51"/>
      <c r="Y34" s="50">
        <f t="shared" si="0"/>
        <v>0</v>
      </c>
      <c r="Z34" s="48">
        <v>1351641</v>
      </c>
      <c r="AA34" s="51"/>
      <c r="AB34" s="50">
        <f t="shared" si="16"/>
        <v>0</v>
      </c>
      <c r="AC34" s="48">
        <v>1351641</v>
      </c>
      <c r="AD34" s="51"/>
      <c r="AE34" s="53"/>
      <c r="AF34" s="48">
        <v>1351641</v>
      </c>
      <c r="AG34" s="51"/>
      <c r="AH34" s="49"/>
      <c r="AI34" s="48">
        <v>1351641</v>
      </c>
      <c r="AJ34" s="51"/>
      <c r="AK34" s="55"/>
      <c r="AL34" s="49">
        <f>B34+E34+H34+Q34+N34+K34+T34+W34+Z34+AC34+AF34+AI34</f>
        <v>17571333</v>
      </c>
      <c r="AM34" s="54">
        <f t="shared" si="17"/>
        <v>4054923</v>
      </c>
      <c r="AN34" s="53">
        <f t="shared" si="11"/>
        <v>0.23076923076923078</v>
      </c>
      <c r="AO34" s="45"/>
      <c r="AP34" s="95"/>
    </row>
    <row r="35" spans="1:42" s="46" customFormat="1" x14ac:dyDescent="0.3">
      <c r="A35" s="56" t="s">
        <v>156</v>
      </c>
      <c r="B35" s="48"/>
      <c r="C35" s="51"/>
      <c r="D35" s="50"/>
      <c r="E35" s="48">
        <v>17050000</v>
      </c>
      <c r="F35" s="51">
        <f>'[1]Relación Egresos'!$D$218</f>
        <v>17055600</v>
      </c>
      <c r="G35" s="52"/>
      <c r="H35" s="48"/>
      <c r="I35" s="51"/>
      <c r="J35" s="50"/>
      <c r="K35" s="48">
        <v>0</v>
      </c>
      <c r="L35" s="51"/>
      <c r="M35" s="50"/>
      <c r="N35" s="48"/>
      <c r="O35" s="51"/>
      <c r="P35" s="50"/>
      <c r="Q35" s="48"/>
      <c r="R35" s="51"/>
      <c r="S35" s="50"/>
      <c r="T35" s="48"/>
      <c r="U35" s="51"/>
      <c r="V35" s="50"/>
      <c r="W35" s="48"/>
      <c r="X35" s="51"/>
      <c r="Y35" s="50"/>
      <c r="Z35" s="48"/>
      <c r="AA35" s="51"/>
      <c r="AB35" s="50"/>
      <c r="AC35" s="48"/>
      <c r="AD35" s="51"/>
      <c r="AE35" s="53"/>
      <c r="AF35" s="48"/>
      <c r="AG35" s="51"/>
      <c r="AH35" s="49"/>
      <c r="AI35" s="48"/>
      <c r="AJ35" s="51"/>
      <c r="AK35" s="55"/>
      <c r="AL35" s="49">
        <f>B35+E35+H35+Q35+N35+K35+T35+W35+Z35+AC35+AF35+AI35</f>
        <v>17050000</v>
      </c>
      <c r="AM35" s="54">
        <f t="shared" si="17"/>
        <v>17055600</v>
      </c>
      <c r="AN35" s="53"/>
      <c r="AO35" s="45"/>
      <c r="AP35" s="95"/>
    </row>
    <row r="36" spans="1:42" s="46" customFormat="1" x14ac:dyDescent="0.3">
      <c r="A36" s="56" t="s">
        <v>157</v>
      </c>
      <c r="B36" s="48"/>
      <c r="C36" s="51"/>
      <c r="D36" s="50"/>
      <c r="E36" s="48"/>
      <c r="F36" s="51"/>
      <c r="G36" s="52"/>
      <c r="H36" s="48">
        <v>2500000</v>
      </c>
      <c r="I36" s="51"/>
      <c r="J36" s="50"/>
      <c r="K36" s="48">
        <v>0</v>
      </c>
      <c r="L36" s="51"/>
      <c r="M36" s="50"/>
      <c r="N36" s="48"/>
      <c r="O36" s="51"/>
      <c r="P36" s="50"/>
      <c r="Q36" s="48"/>
      <c r="R36" s="51"/>
      <c r="S36" s="50"/>
      <c r="T36" s="48"/>
      <c r="U36" s="51"/>
      <c r="V36" s="50"/>
      <c r="W36" s="48"/>
      <c r="X36" s="51"/>
      <c r="Y36" s="50"/>
      <c r="Z36" s="48"/>
      <c r="AA36" s="51"/>
      <c r="AB36" s="50"/>
      <c r="AC36" s="48"/>
      <c r="AD36" s="51"/>
      <c r="AE36" s="53"/>
      <c r="AF36" s="48"/>
      <c r="AG36" s="51"/>
      <c r="AH36" s="49"/>
      <c r="AI36" s="48"/>
      <c r="AJ36" s="51"/>
      <c r="AK36" s="55"/>
      <c r="AL36" s="49">
        <f>B36+E36+H36+Q36+N36+K36+T36+W36+Z36+AC36+AF36+AI36</f>
        <v>2500000</v>
      </c>
      <c r="AM36" s="54">
        <f t="shared" si="17"/>
        <v>0</v>
      </c>
      <c r="AN36" s="53"/>
      <c r="AO36" s="45"/>
      <c r="AP36" s="95"/>
    </row>
    <row r="37" spans="1:42" s="46" customFormat="1" x14ac:dyDescent="0.3">
      <c r="A37" s="56" t="s">
        <v>154</v>
      </c>
      <c r="B37" s="48"/>
      <c r="C37" s="51"/>
      <c r="D37" s="50"/>
      <c r="E37" s="48">
        <v>2800000</v>
      </c>
      <c r="F37" s="51">
        <f>'[1]Relación Egresos'!$D$115</f>
        <v>1727222</v>
      </c>
      <c r="G37" s="52">
        <f t="shared" si="14"/>
        <v>0.616865</v>
      </c>
      <c r="H37" s="48">
        <f>E37-F37</f>
        <v>1072778</v>
      </c>
      <c r="I37" s="51"/>
      <c r="J37" s="50"/>
      <c r="K37" s="48">
        <v>0</v>
      </c>
      <c r="L37" s="51"/>
      <c r="M37" s="50"/>
      <c r="N37" s="48"/>
      <c r="O37" s="51"/>
      <c r="P37" s="50"/>
      <c r="Q37" s="48"/>
      <c r="R37" s="51"/>
      <c r="S37" s="50"/>
      <c r="T37" s="48"/>
      <c r="U37" s="51"/>
      <c r="V37" s="50"/>
      <c r="W37" s="48"/>
      <c r="X37" s="51"/>
      <c r="Y37" s="50"/>
      <c r="Z37" s="48"/>
      <c r="AA37" s="51"/>
      <c r="AB37" s="50"/>
      <c r="AC37" s="48"/>
      <c r="AD37" s="51"/>
      <c r="AE37" s="53"/>
      <c r="AF37" s="48"/>
      <c r="AG37" s="51"/>
      <c r="AH37" s="49"/>
      <c r="AI37" s="48"/>
      <c r="AJ37" s="51"/>
      <c r="AK37" s="55"/>
      <c r="AL37" s="49">
        <f>B37+E37+H37+Q37+N37+K37+T37+W37+Z37+AC37+AF37+AI37</f>
        <v>3872778</v>
      </c>
      <c r="AM37" s="54">
        <f t="shared" si="17"/>
        <v>1727222</v>
      </c>
      <c r="AN37" s="53"/>
      <c r="AO37" s="45"/>
      <c r="AP37" s="95"/>
    </row>
    <row r="38" spans="1:42" s="46" customFormat="1" x14ac:dyDescent="0.3">
      <c r="A38" s="56" t="s">
        <v>155</v>
      </c>
      <c r="B38" s="48">
        <v>2989000</v>
      </c>
      <c r="C38" s="51">
        <f>B38</f>
        <v>2989000</v>
      </c>
      <c r="D38" s="50">
        <f t="shared" si="13"/>
        <v>1</v>
      </c>
      <c r="E38" s="48">
        <v>166250</v>
      </c>
      <c r="F38" s="51">
        <f>'[1]Relación Egresos'!$D$120</f>
        <v>166250</v>
      </c>
      <c r="G38" s="52"/>
      <c r="H38" s="48">
        <v>752000</v>
      </c>
      <c r="I38" s="51">
        <f>'[1]Relación Egresos'!$D$244</f>
        <v>752000</v>
      </c>
      <c r="J38" s="50"/>
      <c r="K38" s="48">
        <v>0</v>
      </c>
      <c r="L38" s="51"/>
      <c r="M38" s="50"/>
      <c r="N38" s="48"/>
      <c r="O38" s="51"/>
      <c r="P38" s="50"/>
      <c r="Q38" s="48"/>
      <c r="R38" s="51"/>
      <c r="S38" s="50"/>
      <c r="T38" s="48"/>
      <c r="U38" s="51"/>
      <c r="V38" s="50"/>
      <c r="W38" s="48"/>
      <c r="X38" s="51"/>
      <c r="Y38" s="50"/>
      <c r="Z38" s="48"/>
      <c r="AA38" s="51"/>
      <c r="AB38" s="50"/>
      <c r="AC38" s="48"/>
      <c r="AD38" s="51"/>
      <c r="AE38" s="53"/>
      <c r="AF38" s="48"/>
      <c r="AG38" s="51"/>
      <c r="AH38" s="49"/>
      <c r="AI38" s="48"/>
      <c r="AJ38" s="51"/>
      <c r="AK38" s="55"/>
      <c r="AL38" s="49">
        <f>B38+E38+H38+Q38+N38+K38+T38+W38+Z38+AC38+AF38+AI38</f>
        <v>3907250</v>
      </c>
      <c r="AM38" s="54">
        <f t="shared" si="17"/>
        <v>3907250</v>
      </c>
      <c r="AN38" s="53"/>
      <c r="AO38" s="45"/>
      <c r="AP38" s="95"/>
    </row>
    <row r="39" spans="1:42" s="46" customFormat="1" x14ac:dyDescent="0.3">
      <c r="A39" s="96" t="s">
        <v>44</v>
      </c>
      <c r="B39" s="97">
        <f>SUM(B29:B38)</f>
        <v>36591097</v>
      </c>
      <c r="C39" s="97">
        <f>SUM(C29:C38)</f>
        <v>36095313</v>
      </c>
      <c r="D39" s="98">
        <f>C39/B39</f>
        <v>0.9864506931836452</v>
      </c>
      <c r="E39" s="97">
        <f>SUM(E29:E38)</f>
        <v>52485850</v>
      </c>
      <c r="F39" s="97">
        <f>SUM(F29:F38)</f>
        <v>38056349</v>
      </c>
      <c r="G39" s="99">
        <f>F39/E39</f>
        <v>0.72507826395114117</v>
      </c>
      <c r="H39" s="97">
        <f>SUM(H29:H38)</f>
        <v>23677242</v>
      </c>
      <c r="I39" s="97">
        <f>SUM(I29:I38)</f>
        <v>17159161</v>
      </c>
      <c r="J39" s="98">
        <f>I39/H39</f>
        <v>0.72471113823138689</v>
      </c>
      <c r="K39" s="97">
        <f>SUM(K29:K38)</f>
        <v>17737284</v>
      </c>
      <c r="L39" s="97">
        <f>SUM(L29:L34)</f>
        <v>0</v>
      </c>
      <c r="M39" s="99">
        <f>L39/K39</f>
        <v>0</v>
      </c>
      <c r="N39" s="97">
        <f>SUM(N29:N34)</f>
        <v>6027779</v>
      </c>
      <c r="O39" s="97">
        <f>SUM(O29:O34)</f>
        <v>0</v>
      </c>
      <c r="P39" s="99">
        <f t="shared" si="12"/>
        <v>0</v>
      </c>
      <c r="Q39" s="97">
        <f>SUM(Q29:Q34)</f>
        <v>1351641</v>
      </c>
      <c r="R39" s="97">
        <f>SUM(R29:R34)</f>
        <v>0</v>
      </c>
      <c r="S39" s="99">
        <f>R39/Q39</f>
        <v>0</v>
      </c>
      <c r="T39" s="97">
        <f>SUM(T29:T34)</f>
        <v>1351641</v>
      </c>
      <c r="U39" s="97">
        <f>SUM(U29:U34)</f>
        <v>0</v>
      </c>
      <c r="V39" s="99">
        <f t="shared" si="15"/>
        <v>0</v>
      </c>
      <c r="W39" s="97">
        <f>SUM(W29:W34)</f>
        <v>1351641</v>
      </c>
      <c r="X39" s="97">
        <f>SUM(X29:X34)</f>
        <v>0</v>
      </c>
      <c r="Y39" s="98">
        <f t="shared" si="0"/>
        <v>0</v>
      </c>
      <c r="Z39" s="97">
        <f>SUM(Z29:Z34)</f>
        <v>1351641</v>
      </c>
      <c r="AA39" s="97">
        <f>SUM(AA29:AA34)</f>
        <v>0</v>
      </c>
      <c r="AB39" s="98">
        <f t="shared" si="16"/>
        <v>0</v>
      </c>
      <c r="AC39" s="97">
        <f>SUM(AC29:AC34)</f>
        <v>1351641</v>
      </c>
      <c r="AD39" s="97">
        <f>SUM(AD29:AD34)</f>
        <v>0</v>
      </c>
      <c r="AE39" s="101"/>
      <c r="AF39" s="97">
        <f>SUM(AF29:AF34)</f>
        <v>1351641</v>
      </c>
      <c r="AG39" s="97">
        <f>SUM(AG29:AG34)</f>
        <v>0</v>
      </c>
      <c r="AH39" s="102"/>
      <c r="AI39" s="97">
        <f>SUM(AI29:AI34)</f>
        <v>1351641</v>
      </c>
      <c r="AJ39" s="97">
        <f>SUM(AJ29:AJ34)</f>
        <v>0</v>
      </c>
      <c r="AK39" s="102"/>
      <c r="AL39" s="97">
        <f>SUM(AL29:AL38)</f>
        <v>145980739</v>
      </c>
      <c r="AM39" s="100">
        <f t="shared" si="17"/>
        <v>91310823</v>
      </c>
      <c r="AN39" s="103">
        <f>AM39/AL39</f>
        <v>0.62549911464689878</v>
      </c>
      <c r="AO39" s="45"/>
      <c r="AP39" s="45"/>
    </row>
    <row r="40" spans="1:42" s="106" customFormat="1" x14ac:dyDescent="0.3">
      <c r="A40" s="96" t="s">
        <v>45</v>
      </c>
      <c r="B40" s="97">
        <v>3900000</v>
      </c>
      <c r="C40" s="97">
        <f>'[1]Relación Egresos'!$D$86</f>
        <v>3716768</v>
      </c>
      <c r="D40" s="98">
        <f>C40/B40</f>
        <v>0.95301743589743593</v>
      </c>
      <c r="E40" s="97">
        <v>3900000</v>
      </c>
      <c r="F40" s="97">
        <f>'[1]Relación Egresos'!$D$215</f>
        <v>3680140</v>
      </c>
      <c r="G40" s="99">
        <f>F40/E40</f>
        <v>0.94362564102564106</v>
      </c>
      <c r="H40" s="97">
        <v>3900000</v>
      </c>
      <c r="I40" s="97">
        <f>'[1]Relación Egresos'!$D$311</f>
        <v>3645301</v>
      </c>
      <c r="J40" s="98">
        <f>I40/H40</f>
        <v>0.93469256410256407</v>
      </c>
      <c r="K40" s="97">
        <v>3700000</v>
      </c>
      <c r="L40" s="97"/>
      <c r="M40" s="99">
        <f>L40/K40</f>
        <v>0</v>
      </c>
      <c r="N40" s="97">
        <v>3700000</v>
      </c>
      <c r="O40" s="97"/>
      <c r="P40" s="99">
        <f t="shared" si="12"/>
        <v>0</v>
      </c>
      <c r="Q40" s="97">
        <v>3700000</v>
      </c>
      <c r="R40" s="97"/>
      <c r="S40" s="99">
        <f>R40/Q40</f>
        <v>0</v>
      </c>
      <c r="T40" s="97">
        <v>3700000</v>
      </c>
      <c r="U40" s="97"/>
      <c r="V40" s="99">
        <f t="shared" si="15"/>
        <v>0</v>
      </c>
      <c r="W40" s="97">
        <v>3700000</v>
      </c>
      <c r="X40" s="97"/>
      <c r="Y40" s="98">
        <f t="shared" si="0"/>
        <v>0</v>
      </c>
      <c r="Z40" s="97">
        <v>3700000</v>
      </c>
      <c r="AA40" s="97"/>
      <c r="AB40" s="98">
        <f t="shared" si="16"/>
        <v>0</v>
      </c>
      <c r="AC40" s="97">
        <v>3700000</v>
      </c>
      <c r="AD40" s="97"/>
      <c r="AE40" s="101"/>
      <c r="AF40" s="97">
        <v>3700000</v>
      </c>
      <c r="AG40" s="97"/>
      <c r="AH40" s="97"/>
      <c r="AI40" s="97">
        <v>3700000</v>
      </c>
      <c r="AJ40" s="97"/>
      <c r="AK40" s="97"/>
      <c r="AL40" s="97">
        <f>B40+E40+H40+K40+N40+Q41+T40+W40+Z40+AC40+AF40+AI40</f>
        <v>81300000</v>
      </c>
      <c r="AM40" s="100">
        <f t="shared" si="17"/>
        <v>11042209</v>
      </c>
      <c r="AN40" s="103">
        <f>AM40/AL40</f>
        <v>0.13582052890528906</v>
      </c>
      <c r="AO40" s="104">
        <f>E40+E43+E47+F31+E50+E60+E61+E63+E70+E86</f>
        <v>30779490</v>
      </c>
      <c r="AP40" s="105"/>
    </row>
    <row r="41" spans="1:42" s="106" customFormat="1" x14ac:dyDescent="0.3">
      <c r="A41" s="96" t="s">
        <v>46</v>
      </c>
      <c r="B41" s="97">
        <v>50000000</v>
      </c>
      <c r="C41" s="97">
        <f>'[1]Relación Egresos'!$D$24+'[1]Relación Egresos'!$D$43+'[1]Relación Egresos'!$D$44+'[1]Relación Egresos'!$D$45+'[1]Relación Egresos'!$D$46+'[1]Relación Egresos'!$D$48+'[1]Relación Egresos'!$D$49+'[1]Relación Egresos'!$D$50+'[1]Relación Egresos'!$D$51+'[1]Relación Egresos'!$D$52+'[1]Relación Egresos'!$D$54+'[1]Relación Egresos'!$D$55+'[1]Relación Egresos'!$D$56+'[1]Relación Egresos'!$D$57+'[1]Relación Egresos'!$D$58+'[1]Relación Egresos'!$D$59+'[1]Relación Egresos'!$D$60+'[1]Relación Egresos'!$D$61+'[1]Relación Egresos'!$D$63+'[1]Relación Egresos'!$D$64+'[1]Relación Egresos'!$D$65+'[1]Relación Egresos'!$D$66+'[1]Relación Egresos'!$D$68+'[1]Relación Egresos'!$D$70+'[1]Relación Egresos'!$D$71+'[1]Relación Egresos'!$D$72+'[1]Relación Egresos'!$D$73+'[1]Relación Egresos'!$D$74+'[1]Relación Egresos'!$D$75+'[1]Relación Egresos'!$D$76+'[1]Relación Egresos'!$D$77+'[1]Relación Egresos'!$D$78+'[1]Relación Egresos'!$D$79+'[1]Relación Egresos'!$D$80+'[1]Relación Egresos'!$D$81+'[1]Relación Egresos'!$D$23</f>
        <v>46206556</v>
      </c>
      <c r="D41" s="98">
        <f>C41/B41</f>
        <v>0.92413111999999997</v>
      </c>
      <c r="E41" s="97">
        <v>60000000</v>
      </c>
      <c r="F41" s="97">
        <f>'[1]Relación Egresos'!$D$127+'[1]Relación Egresos'!$D$128+'[1]Relación Egresos'!$D$129+'[1]Relación Egresos'!$D$130+'[1]Relación Egresos'!$D$134+'[1]Relación Egresos'!$D$135+'[1]Relación Egresos'!$D$136+'[1]Relación Egresos'!$D$138+'[1]Relación Egresos'!$D$139+'[1]Relación Egresos'!$D$140+'[1]Relación Egresos'!$D$141+'[1]Relación Egresos'!$D$142+'[1]Relación Egresos'!$D$143+'[1]Relación Egresos'!$D$144+'[1]Relación Egresos'!$D$146+'[1]Relación Egresos'!$D$148+'[1]Relación Egresos'!$D$149+'[1]Relación Egresos'!$D$150+'[1]Relación Egresos'!$D$152+'[1]Relación Egresos'!$D$155+'[1]Relación Egresos'!$D$156+'[1]Relación Egresos'!$D$157+'[1]Relación Egresos'!$D$158+'[1]Relación Egresos'!$D$159+'[1]Relación Egresos'!$D$160+'[1]Relación Egresos'!$D$161+'[1]Relación Egresos'!$D$162+'[1]Relación Egresos'!$D$163+'[1]Relación Egresos'!$D$164+'[1]Relación Egresos'!$D$165+'[1]Relación Egresos'!$D$166+'[1]Relación Egresos'!$D$167+'[1]Relación Egresos'!$E$192+'[1]Relación Egresos'!$E$193+'[1]Relación Egresos'!$E$194+'[1]Relación Egresos'!$E$195+'[1]Relación Egresos'!$E$196+'[1]Relación Egresos'!$E$204+'[1]Relación Egresos'!$E$209+'[1]Relación Egresos'!$D$216+'[1]Relación Egresos'!$D$190</f>
        <v>58687471</v>
      </c>
      <c r="G41" s="99">
        <f>F41/E41</f>
        <v>0.97812451666666667</v>
      </c>
      <c r="H41" s="97">
        <v>46000000</v>
      </c>
      <c r="I41" s="97">
        <f>'[1]Relación Egresos'!$D$306+'[1]Relación Egresos'!$D$305+'[1]Relación Egresos'!$D$304+'[1]Relación Egresos'!$D$303+'[1]Relación Egresos'!$D$302+'[1]Relación Egresos'!$D$301+'[1]Relación Egresos'!$D$300+'[1]Relación Egresos'!$D$299+'[1]Relación Egresos'!$D$298+'[1]Relación Egresos'!$D$297+'[1]Relación Egresos'!$D$295+'[1]Relación Egresos'!$D$294+'[1]Relación Egresos'!$D$292+'[1]Relación Egresos'!$D$291+'[1]Relación Egresos'!$D$290+'[1]Relación Egresos'!$D$289+'[1]Relación Egresos'!$D$288+'[1]Relación Egresos'!$D$287+'[1]Relación Egresos'!$D$286+'[1]Relación Egresos'!$D$285+'[1]Relación Egresos'!$D$284+'[1]Relación Egresos'!$D$282+'[1]Relación Egresos'!$D$281+'[1]Relación Egresos'!$D$279+'[1]Relación Egresos'!$D$278+'[1]Relación Egresos'!$D$245+'[1]Relación Egresos'!$D$236+'[1]Relación Egresos'!$D$242+'[1]Relación Egresos'!$D$276</f>
        <v>46038135</v>
      </c>
      <c r="J41" s="98">
        <f>I41/H41</f>
        <v>1.0008290217391305</v>
      </c>
      <c r="K41" s="97">
        <v>20000000</v>
      </c>
      <c r="L41" s="97">
        <f>'[1]Relación Egresos'!$D$346</f>
        <v>2082424</v>
      </c>
      <c r="M41" s="99">
        <f>L41/K41</f>
        <v>0.1041212</v>
      </c>
      <c r="N41" s="97">
        <v>30000000</v>
      </c>
      <c r="O41" s="97"/>
      <c r="P41" s="99">
        <f t="shared" si="12"/>
        <v>0</v>
      </c>
      <c r="Q41" s="97">
        <v>40000000</v>
      </c>
      <c r="R41" s="97"/>
      <c r="S41" s="103">
        <f>R41/Q41</f>
        <v>0</v>
      </c>
      <c r="T41" s="97">
        <v>40000000</v>
      </c>
      <c r="U41" s="97"/>
      <c r="V41" s="99">
        <f t="shared" si="15"/>
        <v>0</v>
      </c>
      <c r="W41" s="97">
        <v>40000000</v>
      </c>
      <c r="X41" s="97"/>
      <c r="Y41" s="98">
        <f t="shared" si="0"/>
        <v>0</v>
      </c>
      <c r="Z41" s="97">
        <v>40000000</v>
      </c>
      <c r="AA41" s="97"/>
      <c r="AB41" s="98">
        <f t="shared" si="16"/>
        <v>0</v>
      </c>
      <c r="AC41" s="97">
        <v>40000000</v>
      </c>
      <c r="AD41" s="97"/>
      <c r="AE41" s="101"/>
      <c r="AF41" s="97">
        <v>40000000</v>
      </c>
      <c r="AG41" s="97"/>
      <c r="AH41" s="97"/>
      <c r="AI41" s="97">
        <v>40000000</v>
      </c>
      <c r="AJ41" s="97"/>
      <c r="AK41" s="97"/>
      <c r="AL41" s="97">
        <f>B41+E41+H41+K41+N41+Q42+T41+W41+Z41+AC41+AF41+AI41</f>
        <v>446000000</v>
      </c>
      <c r="AM41" s="100">
        <f t="shared" si="17"/>
        <v>153014586</v>
      </c>
      <c r="AN41" s="103">
        <f>AM41/AL41</f>
        <v>0.34308203139013455</v>
      </c>
      <c r="AO41" s="105"/>
      <c r="AP41" s="104"/>
    </row>
    <row r="42" spans="1:42" s="46" customFormat="1" x14ac:dyDescent="0.3">
      <c r="A42" s="107" t="s">
        <v>47</v>
      </c>
      <c r="B42" s="41"/>
      <c r="C42" s="42"/>
      <c r="D42" s="40"/>
      <c r="E42" s="41"/>
      <c r="F42" s="42"/>
      <c r="G42" s="42"/>
      <c r="H42" s="41"/>
      <c r="I42" s="42"/>
      <c r="J42" s="40"/>
      <c r="K42" s="41"/>
      <c r="L42" s="42"/>
      <c r="M42" s="40"/>
      <c r="N42" s="41"/>
      <c r="O42" s="42"/>
      <c r="P42" s="40"/>
      <c r="Q42" s="41"/>
      <c r="R42" s="42"/>
      <c r="S42" s="50"/>
      <c r="T42" s="41"/>
      <c r="U42" s="42"/>
      <c r="V42" s="40"/>
      <c r="W42" s="41"/>
      <c r="X42" s="42"/>
      <c r="Y42" s="40"/>
      <c r="Z42" s="41"/>
      <c r="AA42" s="42"/>
      <c r="AB42" s="40"/>
      <c r="AC42" s="41"/>
      <c r="AD42" s="42"/>
      <c r="AE42" s="53"/>
      <c r="AF42" s="41"/>
      <c r="AG42" s="42"/>
      <c r="AH42" s="40"/>
      <c r="AI42" s="41"/>
      <c r="AJ42" s="42"/>
      <c r="AK42" s="43"/>
      <c r="AL42" s="40"/>
      <c r="AM42" s="92"/>
      <c r="AN42" s="54"/>
      <c r="AO42" s="45"/>
      <c r="AP42" s="45"/>
    </row>
    <row r="43" spans="1:42" s="46" customFormat="1" x14ac:dyDescent="0.3">
      <c r="A43" s="56" t="s">
        <v>48</v>
      </c>
      <c r="B43" s="48">
        <f>13806506+877603</f>
        <v>14684109</v>
      </c>
      <c r="C43" s="51">
        <f>'[1]Relación Egresos'!$D$89</f>
        <v>14684109</v>
      </c>
      <c r="D43" s="50">
        <f>C43/B43</f>
        <v>1</v>
      </c>
      <c r="E43" s="48">
        <v>15000000</v>
      </c>
      <c r="F43" s="51">
        <f>'[1]Relación Egresos'!$D$221</f>
        <v>15220860</v>
      </c>
      <c r="G43" s="52">
        <f>F43/E43</f>
        <v>1.014724</v>
      </c>
      <c r="H43" s="48">
        <v>15200000</v>
      </c>
      <c r="I43" s="51">
        <f>'[1]Relación Egresos'!$D$312</f>
        <v>12086598.333333336</v>
      </c>
      <c r="J43" s="50">
        <f>I43/H43</f>
        <v>0.79517094298245627</v>
      </c>
      <c r="K43" s="48">
        <v>15000000</v>
      </c>
      <c r="L43" s="51"/>
      <c r="M43" s="50">
        <f>L43/K43</f>
        <v>0</v>
      </c>
      <c r="N43" s="48">
        <v>15000000</v>
      </c>
      <c r="O43" s="51"/>
      <c r="P43" s="50">
        <f>O43/N43</f>
        <v>0</v>
      </c>
      <c r="Q43" s="48">
        <v>15000000</v>
      </c>
      <c r="R43" s="51"/>
      <c r="S43" s="50">
        <f>R43/Q43</f>
        <v>0</v>
      </c>
      <c r="T43" s="48">
        <v>15000000</v>
      </c>
      <c r="U43" s="51"/>
      <c r="V43" s="50">
        <f>U43/T43</f>
        <v>0</v>
      </c>
      <c r="W43" s="48">
        <v>15000000</v>
      </c>
      <c r="X43" s="51"/>
      <c r="Y43" s="50">
        <f t="shared" si="0"/>
        <v>0</v>
      </c>
      <c r="Z43" s="48">
        <v>15000000</v>
      </c>
      <c r="AA43" s="51"/>
      <c r="AB43" s="50">
        <f>AA43/Z43</f>
        <v>0</v>
      </c>
      <c r="AC43" s="48">
        <v>15000000</v>
      </c>
      <c r="AD43" s="51"/>
      <c r="AE43" s="53"/>
      <c r="AF43" s="48">
        <v>15000000</v>
      </c>
      <c r="AG43" s="51"/>
      <c r="AH43" s="49"/>
      <c r="AI43" s="48">
        <v>15000000</v>
      </c>
      <c r="AJ43" s="51"/>
      <c r="AK43" s="55"/>
      <c r="AL43" s="49">
        <f>B43+E43+H43+K43+N43+Q43+T43+W43+Z43+AC43+AF43+AI43</f>
        <v>179884109</v>
      </c>
      <c r="AM43" s="54">
        <f>C43+F43+I43+L43+O43+R43+U43+X43+AA43+AD43+AG43+AJ43</f>
        <v>41991567.333333336</v>
      </c>
      <c r="AN43" s="53">
        <f>AM43/AL43</f>
        <v>0.2334367808628017</v>
      </c>
      <c r="AO43" s="45"/>
      <c r="AP43" s="45"/>
    </row>
    <row r="44" spans="1:42" s="46" customFormat="1" x14ac:dyDescent="0.3">
      <c r="A44" s="56" t="s">
        <v>49</v>
      </c>
      <c r="B44" s="48">
        <v>1000000</v>
      </c>
      <c r="C44" s="51">
        <f>'[1]Relación Egresos'!$D$27</f>
        <v>594707</v>
      </c>
      <c r="D44" s="50">
        <f>C44/B44</f>
        <v>0.59470699999999999</v>
      </c>
      <c r="E44" s="48">
        <v>1000000</v>
      </c>
      <c r="F44" s="51"/>
      <c r="G44" s="52">
        <f t="shared" ref="G44:G57" si="18">F44/E44</f>
        <v>0</v>
      </c>
      <c r="H44" s="48">
        <v>1000000</v>
      </c>
      <c r="I44" s="51">
        <f>'[1]Relación Egresos'!$D$317+'[1]Relación Egresos'!$D$313+'[1]Relación Egresos'!$D$239</f>
        <v>3731837</v>
      </c>
      <c r="J44" s="50">
        <f>I44/H44</f>
        <v>3.7318370000000001</v>
      </c>
      <c r="K44" s="48">
        <v>1000000</v>
      </c>
      <c r="L44" s="51">
        <f>'[1]Relación Egresos'!$D$341</f>
        <v>366600</v>
      </c>
      <c r="M44" s="50">
        <f t="shared" ref="M44:M57" si="19">L44/K44</f>
        <v>0.36659999999999998</v>
      </c>
      <c r="N44" s="48">
        <v>1000000</v>
      </c>
      <c r="O44" s="51"/>
      <c r="P44" s="50">
        <f t="shared" ref="P44:P57" si="20">O44/N44</f>
        <v>0</v>
      </c>
      <c r="Q44" s="48">
        <v>1000000</v>
      </c>
      <c r="R44" s="51"/>
      <c r="S44" s="50">
        <f t="shared" ref="S44:S57" si="21">R44/Q44</f>
        <v>0</v>
      </c>
      <c r="T44" s="48">
        <v>1000000</v>
      </c>
      <c r="U44" s="51"/>
      <c r="V44" s="50">
        <f t="shared" ref="V44:V57" si="22">U44/T44</f>
        <v>0</v>
      </c>
      <c r="W44" s="48">
        <v>1000000</v>
      </c>
      <c r="X44" s="51"/>
      <c r="Y44" s="50">
        <f t="shared" si="0"/>
        <v>0</v>
      </c>
      <c r="Z44" s="48">
        <v>1000000</v>
      </c>
      <c r="AA44" s="51"/>
      <c r="AB44" s="50">
        <f t="shared" ref="AB44:AB93" si="23">AA44/Z44</f>
        <v>0</v>
      </c>
      <c r="AC44" s="48">
        <v>1000000</v>
      </c>
      <c r="AD44" s="51"/>
      <c r="AE44" s="53"/>
      <c r="AF44" s="48">
        <v>1000000</v>
      </c>
      <c r="AG44" s="51"/>
      <c r="AH44" s="49"/>
      <c r="AI44" s="48">
        <v>1000000</v>
      </c>
      <c r="AJ44" s="51"/>
      <c r="AK44" s="55"/>
      <c r="AL44" s="49">
        <f t="shared" ref="AL44:AL57" si="24">B44+E44+H44+K44+N44+Q44+T44+W44+Z44+AC44+AF44+AI44</f>
        <v>12000000</v>
      </c>
      <c r="AM44" s="54">
        <f t="shared" si="17"/>
        <v>4693144</v>
      </c>
      <c r="AN44" s="53">
        <f t="shared" ref="AN44:AN91" si="25">AM44/AL44</f>
        <v>0.39109533333333335</v>
      </c>
      <c r="AO44" s="45"/>
      <c r="AP44" s="45"/>
    </row>
    <row r="45" spans="1:42" s="46" customFormat="1" x14ac:dyDescent="0.3">
      <c r="A45" s="56" t="s">
        <v>50</v>
      </c>
      <c r="B45" s="48"/>
      <c r="C45" s="51"/>
      <c r="D45" s="50"/>
      <c r="E45" s="48"/>
      <c r="F45" s="51"/>
      <c r="G45" s="52">
        <v>0</v>
      </c>
      <c r="H45" s="48"/>
      <c r="I45" s="51"/>
      <c r="J45" s="50">
        <v>0</v>
      </c>
      <c r="K45" s="48"/>
      <c r="L45" s="51"/>
      <c r="M45" s="50"/>
      <c r="N45" s="48"/>
      <c r="O45" s="51"/>
      <c r="P45" s="50"/>
      <c r="Q45" s="48">
        <v>7500000</v>
      </c>
      <c r="R45" s="51"/>
      <c r="S45" s="50">
        <f t="shared" si="21"/>
        <v>0</v>
      </c>
      <c r="T45" s="48"/>
      <c r="U45" s="51"/>
      <c r="V45" s="50">
        <v>0</v>
      </c>
      <c r="W45" s="48"/>
      <c r="X45" s="51"/>
      <c r="Y45" s="50"/>
      <c r="Z45" s="48"/>
      <c r="AA45" s="51"/>
      <c r="AB45" s="50"/>
      <c r="AC45" s="48"/>
      <c r="AD45" s="51"/>
      <c r="AE45" s="53"/>
      <c r="AF45" s="48"/>
      <c r="AG45" s="51"/>
      <c r="AH45" s="49"/>
      <c r="AI45" s="48">
        <v>7000000</v>
      </c>
      <c r="AJ45" s="51"/>
      <c r="AK45" s="55"/>
      <c r="AL45" s="49">
        <f t="shared" si="24"/>
        <v>14500000</v>
      </c>
      <c r="AM45" s="54">
        <f t="shared" si="17"/>
        <v>0</v>
      </c>
      <c r="AN45" s="53">
        <f t="shared" si="25"/>
        <v>0</v>
      </c>
      <c r="AO45" s="45"/>
      <c r="AP45" s="45"/>
    </row>
    <row r="46" spans="1:42" s="46" customFormat="1" x14ac:dyDescent="0.3">
      <c r="A46" s="56" t="s">
        <v>51</v>
      </c>
      <c r="B46" s="48">
        <f>5311900*1.06</f>
        <v>5630614</v>
      </c>
      <c r="C46" s="51">
        <f>'[1]Relación Egresos'!$D$5</f>
        <v>5259800</v>
      </c>
      <c r="D46" s="50">
        <f t="shared" ref="D46:D57" si="26">C46/B46</f>
        <v>0.93414323908547092</v>
      </c>
      <c r="E46" s="48">
        <f>5311900*1.06</f>
        <v>5630614</v>
      </c>
      <c r="F46" s="51">
        <f>'[1]Relación Egresos'!$D$117</f>
        <v>5551200</v>
      </c>
      <c r="G46" s="52">
        <f t="shared" si="18"/>
        <v>0.98589603194251996</v>
      </c>
      <c r="H46" s="48">
        <f>5311900*1.06</f>
        <v>5630614</v>
      </c>
      <c r="I46" s="51">
        <f>'[1]Relación Egresos'!$D$234</f>
        <v>5560400</v>
      </c>
      <c r="J46" s="50">
        <f>I46/H46</f>
        <v>0.98752995676848032</v>
      </c>
      <c r="K46" s="48">
        <f>5311900*1.06</f>
        <v>5630614</v>
      </c>
      <c r="L46" s="51">
        <f>'[1]Relación Egresos'!$D$342</f>
        <v>5447000</v>
      </c>
      <c r="M46" s="50">
        <f t="shared" si="19"/>
        <v>0.96739005728327321</v>
      </c>
      <c r="N46" s="48">
        <f>5311900*1.06</f>
        <v>5630614</v>
      </c>
      <c r="O46" s="51"/>
      <c r="P46" s="50">
        <f t="shared" si="20"/>
        <v>0</v>
      </c>
      <c r="Q46" s="48">
        <f>5311900*1.06</f>
        <v>5630614</v>
      </c>
      <c r="R46" s="51"/>
      <c r="S46" s="50">
        <f>R46/Q46</f>
        <v>0</v>
      </c>
      <c r="T46" s="48">
        <f>5311900*1.06</f>
        <v>5630614</v>
      </c>
      <c r="U46" s="51"/>
      <c r="V46" s="50">
        <f t="shared" si="22"/>
        <v>0</v>
      </c>
      <c r="W46" s="48">
        <f>5311900*1.06</f>
        <v>5630614</v>
      </c>
      <c r="X46" s="51"/>
      <c r="Y46" s="50">
        <f t="shared" si="0"/>
        <v>0</v>
      </c>
      <c r="Z46" s="48">
        <f>5311900*1.06</f>
        <v>5630614</v>
      </c>
      <c r="AA46" s="51"/>
      <c r="AB46" s="50">
        <f t="shared" si="23"/>
        <v>0</v>
      </c>
      <c r="AC46" s="48">
        <f>5311900*1.06</f>
        <v>5630614</v>
      </c>
      <c r="AD46" s="51"/>
      <c r="AE46" s="53"/>
      <c r="AF46" s="48">
        <f>5311900*1.06</f>
        <v>5630614</v>
      </c>
      <c r="AG46" s="51"/>
      <c r="AH46" s="49"/>
      <c r="AI46" s="48">
        <f>5311900*1.06</f>
        <v>5630614</v>
      </c>
      <c r="AJ46" s="51"/>
      <c r="AK46" s="55"/>
      <c r="AL46" s="49">
        <f t="shared" si="24"/>
        <v>67567368</v>
      </c>
      <c r="AM46" s="54">
        <f t="shared" si="17"/>
        <v>21818400</v>
      </c>
      <c r="AN46" s="53">
        <f t="shared" si="25"/>
        <v>0.32291327375664536</v>
      </c>
      <c r="AO46" s="45"/>
      <c r="AP46" s="45"/>
    </row>
    <row r="47" spans="1:42" s="46" customFormat="1" x14ac:dyDescent="0.3">
      <c r="A47" s="56" t="s">
        <v>52</v>
      </c>
      <c r="B47" s="48">
        <v>150000</v>
      </c>
      <c r="C47" s="51">
        <f>'[1]Relación Egresos'!$D$101</f>
        <v>150000</v>
      </c>
      <c r="D47" s="50">
        <f>C47/B47</f>
        <v>1</v>
      </c>
      <c r="E47" s="48">
        <v>150000</v>
      </c>
      <c r="F47" s="51">
        <f>'[1]Relación Egresos'!$D$220</f>
        <v>150000</v>
      </c>
      <c r="G47" s="52">
        <f t="shared" si="18"/>
        <v>1</v>
      </c>
      <c r="H47" s="48">
        <v>150000</v>
      </c>
      <c r="I47" s="51"/>
      <c r="J47" s="50">
        <f>I47/H47</f>
        <v>0</v>
      </c>
      <c r="K47" s="48">
        <v>150000</v>
      </c>
      <c r="L47" s="51"/>
      <c r="M47" s="50">
        <f t="shared" si="19"/>
        <v>0</v>
      </c>
      <c r="N47" s="48">
        <v>150000</v>
      </c>
      <c r="O47" s="51"/>
      <c r="P47" s="50">
        <f t="shared" si="20"/>
        <v>0</v>
      </c>
      <c r="Q47" s="48">
        <v>150000</v>
      </c>
      <c r="R47" s="51"/>
      <c r="S47" s="50">
        <f t="shared" si="21"/>
        <v>0</v>
      </c>
      <c r="T47" s="48">
        <v>150000</v>
      </c>
      <c r="U47" s="51"/>
      <c r="V47" s="50">
        <f t="shared" si="22"/>
        <v>0</v>
      </c>
      <c r="W47" s="48">
        <v>150000</v>
      </c>
      <c r="X47" s="51"/>
      <c r="Y47" s="50">
        <f t="shared" si="0"/>
        <v>0</v>
      </c>
      <c r="Z47" s="48">
        <v>150000</v>
      </c>
      <c r="AA47" s="51"/>
      <c r="AB47" s="50">
        <f t="shared" si="23"/>
        <v>0</v>
      </c>
      <c r="AC47" s="48">
        <v>150000</v>
      </c>
      <c r="AD47" s="51"/>
      <c r="AE47" s="53"/>
      <c r="AF47" s="48">
        <v>150000</v>
      </c>
      <c r="AG47" s="51"/>
      <c r="AH47" s="49"/>
      <c r="AI47" s="48">
        <v>150000</v>
      </c>
      <c r="AJ47" s="51"/>
      <c r="AK47" s="55"/>
      <c r="AL47" s="49">
        <f t="shared" si="24"/>
        <v>1800000</v>
      </c>
      <c r="AM47" s="54">
        <f t="shared" si="17"/>
        <v>300000</v>
      </c>
      <c r="AN47" s="53">
        <f t="shared" si="25"/>
        <v>0.16666666666666666</v>
      </c>
      <c r="AO47" s="45"/>
      <c r="AP47" s="45"/>
    </row>
    <row r="48" spans="1:42" s="46" customFormat="1" x14ac:dyDescent="0.3">
      <c r="A48" s="56" t="s">
        <v>53</v>
      </c>
      <c r="B48" s="48">
        <f>3700000*1.06</f>
        <v>3922000</v>
      </c>
      <c r="C48" s="51">
        <f>'[1]Relación Egresos'!$D$6+'[1]Relación Egresos'!$E$9+'[1]Relación Egresos'!$D$98</f>
        <v>4180442</v>
      </c>
      <c r="D48" s="50">
        <f t="shared" si="26"/>
        <v>1.0658954614992351</v>
      </c>
      <c r="E48" s="48">
        <f>3700000*1.06</f>
        <v>3922000</v>
      </c>
      <c r="F48" s="51">
        <f>'[1]Relación Egresos'!$E$112+'[1]Relación Egresos'!$D$116</f>
        <v>3578055</v>
      </c>
      <c r="G48" s="52">
        <f t="shared" si="18"/>
        <v>0.91230367159612447</v>
      </c>
      <c r="H48" s="48">
        <f>3700000*1.06</f>
        <v>3922000</v>
      </c>
      <c r="I48" s="51">
        <f>'[1]Relación Egresos'!$D$235+'[1]Relación Egresos'!$E$230+'[1]Relación Egresos'!$D$231+'[1]Relación Egresos'!$D$319</f>
        <v>4620639</v>
      </c>
      <c r="J48" s="50">
        <f t="shared" ref="J48:J57" si="27">I48/H48</f>
        <v>1.1781333503314635</v>
      </c>
      <c r="K48" s="48">
        <f>3700000*1.06</f>
        <v>3922000</v>
      </c>
      <c r="L48" s="51">
        <f>'[1]Relación Egresos'!$D$343</f>
        <v>3382603</v>
      </c>
      <c r="M48" s="50">
        <f t="shared" si="19"/>
        <v>0.86246889342172361</v>
      </c>
      <c r="N48" s="48">
        <f>3700000*1.06</f>
        <v>3922000</v>
      </c>
      <c r="O48" s="51"/>
      <c r="P48" s="50">
        <f t="shared" si="20"/>
        <v>0</v>
      </c>
      <c r="Q48" s="48">
        <f>3700000*1.06</f>
        <v>3922000</v>
      </c>
      <c r="R48" s="51"/>
      <c r="S48" s="50">
        <f t="shared" si="21"/>
        <v>0</v>
      </c>
      <c r="T48" s="48">
        <f>3700000*1.06</f>
        <v>3922000</v>
      </c>
      <c r="U48" s="51"/>
      <c r="V48" s="50">
        <f t="shared" si="22"/>
        <v>0</v>
      </c>
      <c r="W48" s="48">
        <f>3700000*1.06</f>
        <v>3922000</v>
      </c>
      <c r="X48" s="51"/>
      <c r="Y48" s="50">
        <f t="shared" si="0"/>
        <v>0</v>
      </c>
      <c r="Z48" s="48">
        <f>3700000*1.06</f>
        <v>3922000</v>
      </c>
      <c r="AA48" s="51"/>
      <c r="AB48" s="50">
        <f t="shared" si="23"/>
        <v>0</v>
      </c>
      <c r="AC48" s="48">
        <f>3700000*1.06</f>
        <v>3922000</v>
      </c>
      <c r="AD48" s="51"/>
      <c r="AE48" s="53"/>
      <c r="AF48" s="48">
        <f>3700000*1.06</f>
        <v>3922000</v>
      </c>
      <c r="AG48" s="51"/>
      <c r="AH48" s="49"/>
      <c r="AI48" s="48">
        <f>3700000*1.06</f>
        <v>3922000</v>
      </c>
      <c r="AJ48" s="51"/>
      <c r="AK48" s="55"/>
      <c r="AL48" s="49">
        <f t="shared" si="24"/>
        <v>47064000</v>
      </c>
      <c r="AM48" s="54">
        <f t="shared" si="17"/>
        <v>15761739</v>
      </c>
      <c r="AN48" s="53">
        <f t="shared" si="25"/>
        <v>0.33490011473737891</v>
      </c>
      <c r="AO48" s="45"/>
      <c r="AP48" s="45"/>
    </row>
    <row r="49" spans="1:42" s="46" customFormat="1" x14ac:dyDescent="0.3">
      <c r="A49" s="56" t="s">
        <v>54</v>
      </c>
      <c r="B49" s="48">
        <v>1921377</v>
      </c>
      <c r="C49" s="51">
        <f>'[1]Relación Egresos'!$D$90</f>
        <v>1921377</v>
      </c>
      <c r="D49" s="50">
        <f>C49/B49</f>
        <v>1</v>
      </c>
      <c r="E49" s="48">
        <v>17847000</v>
      </c>
      <c r="F49" s="51">
        <f>'[1]Relación Egresos'!$D$121</f>
        <v>16616967</v>
      </c>
      <c r="G49" s="52">
        <f t="shared" si="18"/>
        <v>0.93107900487476891</v>
      </c>
      <c r="H49" s="48">
        <v>0</v>
      </c>
      <c r="I49" s="51"/>
      <c r="J49" s="50">
        <v>0</v>
      </c>
      <c r="K49" s="48">
        <v>0</v>
      </c>
      <c r="L49" s="51"/>
      <c r="M49" s="50"/>
      <c r="N49" s="48">
        <v>0</v>
      </c>
      <c r="O49" s="51"/>
      <c r="P49" s="50"/>
      <c r="Q49" s="48">
        <v>0</v>
      </c>
      <c r="R49" s="51"/>
      <c r="S49" s="50"/>
      <c r="T49" s="48"/>
      <c r="U49" s="51"/>
      <c r="V49" s="50">
        <v>0</v>
      </c>
      <c r="W49" s="48"/>
      <c r="X49" s="51"/>
      <c r="Y49" s="50"/>
      <c r="Z49" s="48"/>
      <c r="AA49" s="51"/>
      <c r="AB49" s="50"/>
      <c r="AC49" s="48"/>
      <c r="AD49" s="51"/>
      <c r="AE49" s="53"/>
      <c r="AF49" s="48"/>
      <c r="AG49" s="51"/>
      <c r="AH49" s="49"/>
      <c r="AI49" s="48"/>
      <c r="AJ49" s="51"/>
      <c r="AK49" s="55"/>
      <c r="AL49" s="49">
        <f t="shared" si="24"/>
        <v>19768377</v>
      </c>
      <c r="AM49" s="54">
        <f t="shared" si="17"/>
        <v>18538344</v>
      </c>
      <c r="AN49" s="53">
        <f t="shared" si="25"/>
        <v>0.93777774472836084</v>
      </c>
      <c r="AO49" s="45"/>
      <c r="AP49" s="45"/>
    </row>
    <row r="50" spans="1:42" s="46" customFormat="1" x14ac:dyDescent="0.3">
      <c r="A50" s="56" t="s">
        <v>55</v>
      </c>
      <c r="B50" s="48">
        <f>C50</f>
        <v>2406295</v>
      </c>
      <c r="C50" s="51">
        <f>'[1]Relación Egresos'!$D$100</f>
        <v>2406295</v>
      </c>
      <c r="D50" s="50">
        <f t="shared" si="26"/>
        <v>1</v>
      </c>
      <c r="E50" s="48">
        <f>F50</f>
        <v>0</v>
      </c>
      <c r="F50" s="51"/>
      <c r="G50" s="52">
        <v>0</v>
      </c>
      <c r="H50" s="48">
        <f>I50</f>
        <v>628368</v>
      </c>
      <c r="I50" s="51">
        <f>'[1]Relación Egresos'!$D$240</f>
        <v>628368</v>
      </c>
      <c r="J50" s="50">
        <v>0</v>
      </c>
      <c r="K50" s="48">
        <f>L50</f>
        <v>0</v>
      </c>
      <c r="L50" s="51"/>
      <c r="M50" s="50">
        <v>1</v>
      </c>
      <c r="N50" s="48">
        <f>O50</f>
        <v>0</v>
      </c>
      <c r="O50" s="51"/>
      <c r="P50" s="50"/>
      <c r="Q50" s="48">
        <f>R50</f>
        <v>0</v>
      </c>
      <c r="R50" s="51"/>
      <c r="S50" s="50"/>
      <c r="T50" s="48"/>
      <c r="U50" s="51"/>
      <c r="V50" s="50" t="e">
        <f t="shared" si="22"/>
        <v>#DIV/0!</v>
      </c>
      <c r="W50" s="48"/>
      <c r="X50" s="51"/>
      <c r="Y50" s="50"/>
      <c r="Z50" s="48"/>
      <c r="AA50" s="51"/>
      <c r="AB50" s="50" t="e">
        <f t="shared" si="23"/>
        <v>#DIV/0!</v>
      </c>
      <c r="AC50" s="48"/>
      <c r="AD50" s="51"/>
      <c r="AE50" s="53"/>
      <c r="AF50" s="48"/>
      <c r="AG50" s="51"/>
      <c r="AH50" s="49"/>
      <c r="AI50" s="48"/>
      <c r="AJ50" s="51"/>
      <c r="AK50" s="55"/>
      <c r="AL50" s="49">
        <f t="shared" si="24"/>
        <v>3034663</v>
      </c>
      <c r="AM50" s="54">
        <f t="shared" si="17"/>
        <v>3034663</v>
      </c>
      <c r="AN50" s="53">
        <f t="shared" si="25"/>
        <v>1</v>
      </c>
      <c r="AO50" s="45"/>
      <c r="AP50" s="45"/>
    </row>
    <row r="51" spans="1:42" s="46" customFormat="1" x14ac:dyDescent="0.3">
      <c r="A51" s="56" t="s">
        <v>56</v>
      </c>
      <c r="B51" s="48">
        <v>0</v>
      </c>
      <c r="C51" s="51"/>
      <c r="D51" s="50">
        <v>0</v>
      </c>
      <c r="E51" s="48"/>
      <c r="F51" s="51"/>
      <c r="G51" s="52">
        <v>0</v>
      </c>
      <c r="H51" s="48">
        <v>0</v>
      </c>
      <c r="I51" s="51"/>
      <c r="J51" s="50">
        <v>0</v>
      </c>
      <c r="K51" s="48">
        <v>0</v>
      </c>
      <c r="L51" s="51"/>
      <c r="M51" s="50"/>
      <c r="N51" s="48">
        <v>0</v>
      </c>
      <c r="O51" s="51"/>
      <c r="P51" s="50"/>
      <c r="Q51" s="48">
        <v>0</v>
      </c>
      <c r="R51" s="51"/>
      <c r="S51" s="50"/>
      <c r="T51" s="48"/>
      <c r="U51" s="51"/>
      <c r="V51" s="50">
        <v>0</v>
      </c>
      <c r="W51" s="48"/>
      <c r="X51" s="51"/>
      <c r="Y51" s="50"/>
      <c r="Z51" s="48"/>
      <c r="AA51" s="51"/>
      <c r="AB51" s="50"/>
      <c r="AC51" s="48"/>
      <c r="AD51" s="51"/>
      <c r="AE51" s="53"/>
      <c r="AF51" s="48"/>
      <c r="AG51" s="51"/>
      <c r="AH51" s="49"/>
      <c r="AI51" s="48"/>
      <c r="AJ51" s="51"/>
      <c r="AK51" s="55"/>
      <c r="AL51" s="49">
        <f t="shared" si="24"/>
        <v>0</v>
      </c>
      <c r="AM51" s="54">
        <f t="shared" si="17"/>
        <v>0</v>
      </c>
      <c r="AN51" s="53"/>
      <c r="AO51" s="45"/>
      <c r="AP51" s="45"/>
    </row>
    <row r="52" spans="1:42" s="46" customFormat="1" x14ac:dyDescent="0.3">
      <c r="A52" s="56" t="s">
        <v>57</v>
      </c>
      <c r="B52" s="48">
        <v>0</v>
      </c>
      <c r="C52" s="51"/>
      <c r="D52" s="50">
        <v>0</v>
      </c>
      <c r="E52" s="48">
        <f>2900000</f>
        <v>2900000</v>
      </c>
      <c r="F52" s="51">
        <f>'[1]Relación Egresos'!$E$227+'[1]Relación Egresos'!$D$125</f>
        <v>2873785</v>
      </c>
      <c r="G52" s="52">
        <v>0</v>
      </c>
      <c r="H52" s="48">
        <v>10154236</v>
      </c>
      <c r="I52" s="51">
        <f>'[1]Relación Egresos'!$D$241</f>
        <v>2998418</v>
      </c>
      <c r="J52" s="50">
        <v>0</v>
      </c>
      <c r="K52" s="48">
        <v>0</v>
      </c>
      <c r="L52" s="51"/>
      <c r="M52" s="50" t="e">
        <f t="shared" si="19"/>
        <v>#DIV/0!</v>
      </c>
      <c r="N52" s="48">
        <v>0</v>
      </c>
      <c r="O52" s="51"/>
      <c r="P52" s="50"/>
      <c r="Q52" s="48">
        <v>0</v>
      </c>
      <c r="R52" s="51"/>
      <c r="S52" s="50"/>
      <c r="T52" s="48"/>
      <c r="U52" s="51"/>
      <c r="V52" s="50">
        <v>0</v>
      </c>
      <c r="W52" s="48"/>
      <c r="X52" s="51"/>
      <c r="Y52" s="50"/>
      <c r="Z52" s="48"/>
      <c r="AA52" s="51"/>
      <c r="AB52" s="50">
        <v>1</v>
      </c>
      <c r="AC52" s="48"/>
      <c r="AD52" s="51"/>
      <c r="AE52" s="53"/>
      <c r="AF52" s="48"/>
      <c r="AG52" s="51"/>
      <c r="AH52" s="49"/>
      <c r="AI52" s="48"/>
      <c r="AJ52" s="51"/>
      <c r="AK52" s="55"/>
      <c r="AL52" s="49">
        <f>B52+E52+H52+K52+N52+Q52+T52+W52+Z52+AC52+AF52+AI52</f>
        <v>13054236</v>
      </c>
      <c r="AM52" s="54">
        <f t="shared" si="17"/>
        <v>5872203</v>
      </c>
      <c r="AN52" s="53">
        <f>AM52/AL52</f>
        <v>0.44983122719705698</v>
      </c>
      <c r="AO52" s="95"/>
      <c r="AP52" s="45"/>
    </row>
    <row r="53" spans="1:42" s="46" customFormat="1" x14ac:dyDescent="0.3">
      <c r="A53" s="56" t="s">
        <v>58</v>
      </c>
      <c r="B53" s="94">
        <v>0</v>
      </c>
      <c r="C53" s="51"/>
      <c r="D53" s="50">
        <v>0</v>
      </c>
      <c r="E53" s="94">
        <v>0</v>
      </c>
      <c r="F53" s="51"/>
      <c r="G53" s="52"/>
      <c r="H53" s="94">
        <v>0</v>
      </c>
      <c r="I53" s="51"/>
      <c r="J53" s="50">
        <v>0</v>
      </c>
      <c r="K53" s="94">
        <v>0</v>
      </c>
      <c r="L53" s="51"/>
      <c r="M53" s="50"/>
      <c r="N53" s="94">
        <v>0</v>
      </c>
      <c r="O53" s="51"/>
      <c r="P53" s="50"/>
      <c r="Q53" s="94">
        <v>0</v>
      </c>
      <c r="R53" s="51"/>
      <c r="S53" s="50"/>
      <c r="T53" s="48"/>
      <c r="U53" s="51"/>
      <c r="V53" s="50">
        <v>0</v>
      </c>
      <c r="W53" s="48"/>
      <c r="X53" s="51"/>
      <c r="Y53" s="50"/>
      <c r="Z53" s="48"/>
      <c r="AA53" s="51"/>
      <c r="AB53" s="50"/>
      <c r="AC53" s="48"/>
      <c r="AD53" s="51"/>
      <c r="AE53" s="53"/>
      <c r="AF53" s="48"/>
      <c r="AG53" s="51"/>
      <c r="AH53" s="49"/>
      <c r="AI53" s="48"/>
      <c r="AJ53" s="51"/>
      <c r="AK53" s="55"/>
      <c r="AL53" s="49">
        <f>B53+E53+H53+K53+N53+Q53+T53+W53+Z53+AC53+AF53+AI53</f>
        <v>0</v>
      </c>
      <c r="AM53" s="54"/>
      <c r="AN53" s="53"/>
      <c r="AO53" s="95">
        <f>10442961-AM52</f>
        <v>4570758</v>
      </c>
      <c r="AP53" s="45"/>
    </row>
    <row r="54" spans="1:42" s="46" customFormat="1" x14ac:dyDescent="0.3">
      <c r="A54" s="56" t="s">
        <v>59</v>
      </c>
      <c r="B54" s="94">
        <v>3900000</v>
      </c>
      <c r="C54" s="51">
        <f>'[1]Relación Egresos'!$D$36+'[1]Relación Egresos'!$D$37+'[1]Relación Egresos'!$D$38+'[1]Relación Egresos'!$D$41+'[1]Relación Egresos'!$D$42</f>
        <v>3816201</v>
      </c>
      <c r="D54" s="50">
        <f t="shared" si="26"/>
        <v>0.97851307692307687</v>
      </c>
      <c r="E54" s="94">
        <v>3900000</v>
      </c>
      <c r="F54" s="51">
        <f>'[1]Relación Egresos'!$D$184+'[1]Relación Egresos'!$D$185+'[1]Relación Egresos'!$D$186+'[1]Relación Egresos'!$D$188+'[1]Relación Egresos'!$D$189</f>
        <v>3608953</v>
      </c>
      <c r="G54" s="52">
        <f t="shared" si="18"/>
        <v>0.92537256410256408</v>
      </c>
      <c r="H54" s="94">
        <f>3608953+500000</f>
        <v>4108953</v>
      </c>
      <c r="I54" s="51">
        <f>'[1]Relación Egresos'!$D$270+'[1]Relación Egresos'!$D$271+'[1]Relación Egresos'!$D$272+'[1]Relación Egresos'!$D$274+'[1]Relación Egresos'!$D$275</f>
        <v>3767714</v>
      </c>
      <c r="J54" s="50">
        <f t="shared" si="27"/>
        <v>0.9169523233777559</v>
      </c>
      <c r="K54" s="94">
        <v>3800000</v>
      </c>
      <c r="L54" s="51"/>
      <c r="M54" s="50">
        <f t="shared" si="19"/>
        <v>0</v>
      </c>
      <c r="N54" s="94">
        <v>3800000</v>
      </c>
      <c r="O54" s="51"/>
      <c r="P54" s="50">
        <f t="shared" si="20"/>
        <v>0</v>
      </c>
      <c r="Q54" s="94">
        <v>3800000</v>
      </c>
      <c r="R54" s="51"/>
      <c r="S54" s="50">
        <f t="shared" si="21"/>
        <v>0</v>
      </c>
      <c r="T54" s="94">
        <v>3800000</v>
      </c>
      <c r="U54" s="51"/>
      <c r="V54" s="50">
        <f t="shared" si="22"/>
        <v>0</v>
      </c>
      <c r="W54" s="94">
        <v>3800000</v>
      </c>
      <c r="X54" s="51"/>
      <c r="Y54" s="50">
        <f t="shared" si="0"/>
        <v>0</v>
      </c>
      <c r="Z54" s="94">
        <v>3800000</v>
      </c>
      <c r="AA54" s="51"/>
      <c r="AB54" s="50">
        <f t="shared" si="23"/>
        <v>0</v>
      </c>
      <c r="AC54" s="94">
        <v>3800000</v>
      </c>
      <c r="AD54" s="51"/>
      <c r="AE54" s="53"/>
      <c r="AF54" s="94">
        <v>3800000</v>
      </c>
      <c r="AG54" s="51"/>
      <c r="AH54" s="49"/>
      <c r="AI54" s="94">
        <v>3800000</v>
      </c>
      <c r="AJ54" s="51"/>
      <c r="AK54" s="55"/>
      <c r="AL54" s="49">
        <f t="shared" si="24"/>
        <v>46108953</v>
      </c>
      <c r="AM54" s="54">
        <f t="shared" si="17"/>
        <v>11192868</v>
      </c>
      <c r="AN54" s="53">
        <f t="shared" si="25"/>
        <v>0.2427482575889329</v>
      </c>
      <c r="AO54" s="95">
        <f>1771245</f>
        <v>1771245</v>
      </c>
      <c r="AP54" s="45"/>
    </row>
    <row r="55" spans="1:42" s="46" customFormat="1" x14ac:dyDescent="0.3">
      <c r="A55" s="56" t="s">
        <v>60</v>
      </c>
      <c r="B55" s="94">
        <f>71000000+12000000</f>
        <v>83000000</v>
      </c>
      <c r="C55" s="51">
        <f>'[1]Relación Egresos'!$D$28+'[1]Relación Egresos'!$D$29+'[1]Relación Egresos'!$D$30+'[1]Relación Egresos'!$D$31+'[1]Relación Egresos'!$D$32+'[1]Relación Egresos'!$D$33+'[1]Relación Egresos'!$D$34+'[1]Relación Egresos'!$D$35+'[1]Relación Egresos'!$D$91+'[1]Relación Egresos'!$D$92</f>
        <v>83109442</v>
      </c>
      <c r="D55" s="50">
        <f t="shared" si="26"/>
        <v>1.001318578313253</v>
      </c>
      <c r="E55" s="94">
        <v>100000000</v>
      </c>
      <c r="F55" s="51">
        <f>'[1]Relación Egresos'!$D$172+'[1]Relación Egresos'!$D$173+'[1]Relación Egresos'!$D$174+'[1]Relación Egresos'!$D$175+'[1]Relación Egresos'!$D$176+'[1]Relación Egresos'!$D$177+'[1]Relación Egresos'!$D$178+'[1]Relación Egresos'!$D$179+'[1]Relación Egresos'!$D$180+'[1]Relación Egresos'!$D$181+'[1]Relación Egresos'!$D$182+'[1]Relación Egresos'!$D$183</f>
        <v>97333789</v>
      </c>
      <c r="G55" s="52">
        <f t="shared" si="18"/>
        <v>0.97333789000000004</v>
      </c>
      <c r="H55" s="94">
        <v>93000000</v>
      </c>
      <c r="I55" s="51">
        <v>93691467</v>
      </c>
      <c r="J55" s="50">
        <f t="shared" si="27"/>
        <v>1.0074351290322581</v>
      </c>
      <c r="K55" s="94">
        <v>80000000</v>
      </c>
      <c r="L55" s="51"/>
      <c r="M55" s="50">
        <f t="shared" si="19"/>
        <v>0</v>
      </c>
      <c r="N55" s="94">
        <v>80000000</v>
      </c>
      <c r="O55" s="51"/>
      <c r="P55" s="50">
        <f t="shared" si="20"/>
        <v>0</v>
      </c>
      <c r="Q55" s="94">
        <v>80000000</v>
      </c>
      <c r="R55" s="51"/>
      <c r="S55" s="50">
        <f t="shared" si="21"/>
        <v>0</v>
      </c>
      <c r="T55" s="94">
        <v>80000000</v>
      </c>
      <c r="U55" s="51"/>
      <c r="V55" s="50">
        <f t="shared" si="22"/>
        <v>0</v>
      </c>
      <c r="W55" s="94">
        <v>80000000</v>
      </c>
      <c r="X55" s="51"/>
      <c r="Y55" s="50">
        <f t="shared" si="0"/>
        <v>0</v>
      </c>
      <c r="Z55" s="94">
        <v>80000000</v>
      </c>
      <c r="AA55" s="51"/>
      <c r="AB55" s="50">
        <f t="shared" si="23"/>
        <v>0</v>
      </c>
      <c r="AC55" s="94">
        <v>80000000</v>
      </c>
      <c r="AD55" s="51"/>
      <c r="AE55" s="53"/>
      <c r="AF55" s="94">
        <v>80000000</v>
      </c>
      <c r="AG55" s="51"/>
      <c r="AH55" s="49"/>
      <c r="AI55" s="94">
        <v>80000000</v>
      </c>
      <c r="AJ55" s="51"/>
      <c r="AK55" s="55"/>
      <c r="AL55" s="49">
        <f t="shared" si="24"/>
        <v>996000000</v>
      </c>
      <c r="AM55" s="54">
        <f t="shared" si="17"/>
        <v>274134698</v>
      </c>
      <c r="AN55" s="53">
        <f t="shared" si="25"/>
        <v>0.27523564056224897</v>
      </c>
      <c r="AO55" s="95"/>
      <c r="AP55" s="45"/>
    </row>
    <row r="56" spans="1:42" s="46" customFormat="1" x14ac:dyDescent="0.3">
      <c r="A56" s="56" t="s">
        <v>61</v>
      </c>
      <c r="B56" s="94">
        <v>30226963</v>
      </c>
      <c r="C56" s="51">
        <f>'[1]Relación Egresos'!$D$93</f>
        <v>30226963</v>
      </c>
      <c r="D56" s="50"/>
      <c r="E56" s="94"/>
      <c r="F56" s="51">
        <v>0</v>
      </c>
      <c r="G56" s="52"/>
      <c r="H56" s="94">
        <v>20000000</v>
      </c>
      <c r="I56" s="51">
        <f>'[1]Relación Egresos'!$D$318</f>
        <v>20109552</v>
      </c>
      <c r="J56" s="50">
        <f t="shared" si="27"/>
        <v>1.0054776000000001</v>
      </c>
      <c r="K56" s="94">
        <v>10000000</v>
      </c>
      <c r="L56" s="51"/>
      <c r="M56" s="50">
        <f t="shared" si="19"/>
        <v>0</v>
      </c>
      <c r="N56" s="94">
        <v>10000000</v>
      </c>
      <c r="O56" s="51"/>
      <c r="P56" s="50">
        <f t="shared" si="20"/>
        <v>0</v>
      </c>
      <c r="Q56" s="94">
        <v>10000000</v>
      </c>
      <c r="R56" s="51"/>
      <c r="S56" s="50">
        <f t="shared" si="21"/>
        <v>0</v>
      </c>
      <c r="T56" s="94">
        <v>10000000</v>
      </c>
      <c r="U56" s="51"/>
      <c r="V56" s="50">
        <f t="shared" si="22"/>
        <v>0</v>
      </c>
      <c r="W56" s="94">
        <v>10000000</v>
      </c>
      <c r="X56" s="51"/>
      <c r="Y56" s="50">
        <f t="shared" si="0"/>
        <v>0</v>
      </c>
      <c r="Z56" s="94">
        <v>10000000</v>
      </c>
      <c r="AA56" s="51"/>
      <c r="AB56" s="50">
        <f t="shared" si="23"/>
        <v>0</v>
      </c>
      <c r="AC56" s="94">
        <v>10000000</v>
      </c>
      <c r="AD56" s="51"/>
      <c r="AE56" s="53"/>
      <c r="AF56" s="94">
        <v>10000000</v>
      </c>
      <c r="AG56" s="51"/>
      <c r="AH56" s="49"/>
      <c r="AI56" s="94">
        <v>10000000</v>
      </c>
      <c r="AJ56" s="51"/>
      <c r="AK56" s="55"/>
      <c r="AL56" s="49">
        <f t="shared" si="24"/>
        <v>140226963</v>
      </c>
      <c r="AM56" s="54"/>
      <c r="AN56" s="53"/>
      <c r="AO56" s="95"/>
      <c r="AP56" s="45"/>
    </row>
    <row r="57" spans="1:42" s="46" customFormat="1" x14ac:dyDescent="0.3">
      <c r="A57" s="56" t="s">
        <v>62</v>
      </c>
      <c r="B57" s="94">
        <v>8711103</v>
      </c>
      <c r="C57" s="51">
        <f>'[1]Relación Egresos'!$D$39+'[1]Relación Egresos'!$D$40</f>
        <v>8711103</v>
      </c>
      <c r="D57" s="50">
        <f t="shared" si="26"/>
        <v>1</v>
      </c>
      <c r="E57" s="94">
        <f>B57</f>
        <v>8711103</v>
      </c>
      <c r="F57" s="51">
        <f>'[1]Relación Egresos'!$D$187</f>
        <v>8711103</v>
      </c>
      <c r="G57" s="52">
        <f t="shared" si="18"/>
        <v>1</v>
      </c>
      <c r="H57" s="94">
        <f>E57</f>
        <v>8711103</v>
      </c>
      <c r="I57" s="51">
        <f>'[1]Relación Egresos'!$D$273</f>
        <v>8711103</v>
      </c>
      <c r="J57" s="50">
        <f t="shared" si="27"/>
        <v>1</v>
      </c>
      <c r="K57" s="94">
        <f>H57</f>
        <v>8711103</v>
      </c>
      <c r="L57" s="51"/>
      <c r="M57" s="50">
        <f t="shared" si="19"/>
        <v>0</v>
      </c>
      <c r="N57" s="94">
        <f>K57</f>
        <v>8711103</v>
      </c>
      <c r="O57" s="51"/>
      <c r="P57" s="50">
        <f t="shared" si="20"/>
        <v>0</v>
      </c>
      <c r="Q57" s="94">
        <f>N57</f>
        <v>8711103</v>
      </c>
      <c r="R57" s="51"/>
      <c r="S57" s="50">
        <f t="shared" si="21"/>
        <v>0</v>
      </c>
      <c r="T57" s="94">
        <f>Q57</f>
        <v>8711103</v>
      </c>
      <c r="U57" s="51"/>
      <c r="V57" s="50">
        <f t="shared" si="22"/>
        <v>0</v>
      </c>
      <c r="W57" s="94">
        <f>T57</f>
        <v>8711103</v>
      </c>
      <c r="X57" s="51"/>
      <c r="Y57" s="50">
        <f t="shared" si="0"/>
        <v>0</v>
      </c>
      <c r="Z57" s="94">
        <f>W57</f>
        <v>8711103</v>
      </c>
      <c r="AA57" s="51"/>
      <c r="AB57" s="50">
        <f t="shared" si="23"/>
        <v>0</v>
      </c>
      <c r="AC57" s="94">
        <f>Z57</f>
        <v>8711103</v>
      </c>
      <c r="AD57" s="51"/>
      <c r="AE57" s="53"/>
      <c r="AF57" s="94">
        <f>AC57</f>
        <v>8711103</v>
      </c>
      <c r="AG57" s="51"/>
      <c r="AH57" s="49"/>
      <c r="AI57" s="94">
        <f>AF57</f>
        <v>8711103</v>
      </c>
      <c r="AJ57" s="51"/>
      <c r="AK57" s="55"/>
      <c r="AL57" s="49">
        <f t="shared" si="24"/>
        <v>104533236</v>
      </c>
      <c r="AM57" s="54">
        <f t="shared" si="17"/>
        <v>26133309</v>
      </c>
      <c r="AN57" s="53">
        <f t="shared" si="25"/>
        <v>0.25</v>
      </c>
      <c r="AO57" s="95"/>
      <c r="AP57" s="45"/>
    </row>
    <row r="58" spans="1:42" s="46" customFormat="1" x14ac:dyDescent="0.3">
      <c r="A58" s="96" t="s">
        <v>63</v>
      </c>
      <c r="B58" s="97">
        <f>SUM(B43:B57)</f>
        <v>155552461</v>
      </c>
      <c r="C58" s="97">
        <f>SUM(C43:C57)</f>
        <v>155060439</v>
      </c>
      <c r="D58" s="99">
        <f>C58/B58</f>
        <v>0.99683693850398158</v>
      </c>
      <c r="E58" s="97">
        <f>SUM(E43:E57)</f>
        <v>159060717</v>
      </c>
      <c r="F58" s="97">
        <f>SUM(F43:F57)</f>
        <v>153644712</v>
      </c>
      <c r="G58" s="108">
        <f>F58/E58</f>
        <v>0.96595007804472555</v>
      </c>
      <c r="H58" s="97">
        <f>SUM(H43:H57)</f>
        <v>162505274</v>
      </c>
      <c r="I58" s="97">
        <f>SUM(I43:I57)</f>
        <v>155906096.33333334</v>
      </c>
      <c r="J58" s="98">
        <f>I58/H58</f>
        <v>0.95939099387834847</v>
      </c>
      <c r="K58" s="97">
        <f>SUM(K43:K57)</f>
        <v>128213717</v>
      </c>
      <c r="L58" s="97">
        <f>SUM(L43:L57)</f>
        <v>9196203</v>
      </c>
      <c r="M58" s="99">
        <f>L58/K58</f>
        <v>7.1725578317022046E-2</v>
      </c>
      <c r="N58" s="97">
        <f>SUM(N43:N57)</f>
        <v>128213717</v>
      </c>
      <c r="O58" s="97">
        <f>SUM(O43:O57)</f>
        <v>0</v>
      </c>
      <c r="P58" s="98">
        <f>O58/N58</f>
        <v>0</v>
      </c>
      <c r="Q58" s="97">
        <f>SUM(Q43:Q57)</f>
        <v>135713717</v>
      </c>
      <c r="R58" s="97">
        <f>SUM(R43:R57)</f>
        <v>0</v>
      </c>
      <c r="S58" s="98">
        <f>R58/Q58</f>
        <v>0</v>
      </c>
      <c r="T58" s="97">
        <f>SUM(T43:T57)</f>
        <v>128213717</v>
      </c>
      <c r="U58" s="97">
        <f>SUM(U43:U57)</f>
        <v>0</v>
      </c>
      <c r="V58" s="98">
        <f>U58/T58</f>
        <v>0</v>
      </c>
      <c r="W58" s="97">
        <f>SUM(W43:W57)</f>
        <v>128213717</v>
      </c>
      <c r="X58" s="97">
        <f>SUM(X43:X57)</f>
        <v>0</v>
      </c>
      <c r="Y58" s="98">
        <f t="shared" si="0"/>
        <v>0</v>
      </c>
      <c r="Z58" s="97">
        <f>SUM(Z43:Z57)</f>
        <v>128213717</v>
      </c>
      <c r="AA58" s="97">
        <f>SUM(AA43:AA57)</f>
        <v>0</v>
      </c>
      <c r="AB58" s="98">
        <f t="shared" si="23"/>
        <v>0</v>
      </c>
      <c r="AC58" s="97">
        <f>SUM(AC43:AC57)</f>
        <v>128213717</v>
      </c>
      <c r="AD58" s="97">
        <f>SUM(AD43:AD57)</f>
        <v>0</v>
      </c>
      <c r="AE58" s="101"/>
      <c r="AF58" s="97">
        <f>SUM(AF43:AF57)</f>
        <v>128213717</v>
      </c>
      <c r="AG58" s="97">
        <f>SUM(AG43:AG57)</f>
        <v>0</v>
      </c>
      <c r="AH58" s="102"/>
      <c r="AI58" s="97">
        <f>SUM(AI43:AI57)</f>
        <v>135213717</v>
      </c>
      <c r="AJ58" s="97">
        <f>SUM(AJ43:AJ57)</f>
        <v>0</v>
      </c>
      <c r="AK58" s="109"/>
      <c r="AL58" s="97">
        <f>SUM(AL43:AL57)</f>
        <v>1645541905</v>
      </c>
      <c r="AM58" s="100">
        <f t="shared" si="17"/>
        <v>473807450.33333337</v>
      </c>
      <c r="AN58" s="103">
        <f t="shared" si="25"/>
        <v>0.28793399237884093</v>
      </c>
      <c r="AO58" s="45"/>
      <c r="AP58" s="45"/>
    </row>
    <row r="59" spans="1:42" s="46" customFormat="1" x14ac:dyDescent="0.3">
      <c r="A59" s="107" t="s">
        <v>64</v>
      </c>
      <c r="B59" s="94"/>
      <c r="C59" s="51"/>
      <c r="D59" s="49"/>
      <c r="E59" s="94"/>
      <c r="F59" s="51"/>
      <c r="G59" s="51"/>
      <c r="H59" s="94"/>
      <c r="I59" s="51"/>
      <c r="J59" s="49"/>
      <c r="K59" s="94"/>
      <c r="L59" s="51"/>
      <c r="M59" s="49"/>
      <c r="N59" s="94"/>
      <c r="O59" s="51"/>
      <c r="P59" s="53"/>
      <c r="Q59" s="94"/>
      <c r="R59" s="51"/>
      <c r="S59" s="50"/>
      <c r="T59" s="94"/>
      <c r="U59" s="51"/>
      <c r="V59" s="49"/>
      <c r="W59" s="94"/>
      <c r="X59" s="51"/>
      <c r="Y59" s="49"/>
      <c r="Z59" s="94"/>
      <c r="AA59" s="51"/>
      <c r="AB59" s="50"/>
      <c r="AC59" s="94"/>
      <c r="AD59" s="51"/>
      <c r="AE59" s="53"/>
      <c r="AF59" s="94"/>
      <c r="AG59" s="51"/>
      <c r="AH59" s="49"/>
      <c r="AI59" s="94"/>
      <c r="AJ59" s="51"/>
      <c r="AK59" s="55"/>
      <c r="AL59" s="49"/>
      <c r="AM59" s="54"/>
      <c r="AN59" s="54"/>
      <c r="AO59" s="45"/>
      <c r="AP59" s="45"/>
    </row>
    <row r="60" spans="1:42" s="46" customFormat="1" x14ac:dyDescent="0.3">
      <c r="A60" s="56" t="s">
        <v>65</v>
      </c>
      <c r="B60" s="48">
        <v>350000</v>
      </c>
      <c r="C60" s="51">
        <f>'[1]Relación Egresos'!$E$21</f>
        <v>159820</v>
      </c>
      <c r="D60" s="50">
        <f>C60/B60</f>
        <v>0.45662857142857144</v>
      </c>
      <c r="E60" s="48">
        <v>200000</v>
      </c>
      <c r="F60" s="51">
        <f>'[1]Relación Egresos'!$D$124</f>
        <v>164080</v>
      </c>
      <c r="G60" s="52">
        <f>F60/E60</f>
        <v>0.82040000000000002</v>
      </c>
      <c r="H60" s="48">
        <v>200000</v>
      </c>
      <c r="I60" s="51">
        <f>'[1]Relación Egresos'!$D$321</f>
        <v>100860</v>
      </c>
      <c r="J60" s="50">
        <f>I60/H60</f>
        <v>0.50429999999999997</v>
      </c>
      <c r="K60" s="48">
        <v>350000</v>
      </c>
      <c r="L60" s="51">
        <v>0</v>
      </c>
      <c r="M60" s="50">
        <f>L60/K60</f>
        <v>0</v>
      </c>
      <c r="N60" s="48">
        <v>350000</v>
      </c>
      <c r="O60" s="51">
        <v>0</v>
      </c>
      <c r="P60" s="50">
        <f>O60/N60</f>
        <v>0</v>
      </c>
      <c r="Q60" s="48">
        <v>350000</v>
      </c>
      <c r="R60" s="51">
        <v>0</v>
      </c>
      <c r="S60" s="50">
        <f>R60/Q60</f>
        <v>0</v>
      </c>
      <c r="T60" s="48">
        <v>350000</v>
      </c>
      <c r="U60" s="51">
        <v>0</v>
      </c>
      <c r="V60" s="50">
        <f>U60/T60</f>
        <v>0</v>
      </c>
      <c r="W60" s="48">
        <v>350000</v>
      </c>
      <c r="X60" s="51">
        <v>0</v>
      </c>
      <c r="Y60" s="50">
        <f t="shared" si="0"/>
        <v>0</v>
      </c>
      <c r="Z60" s="48">
        <v>350000</v>
      </c>
      <c r="AA60" s="51">
        <v>0</v>
      </c>
      <c r="AB60" s="50">
        <f t="shared" si="23"/>
        <v>0</v>
      </c>
      <c r="AC60" s="48">
        <v>350000</v>
      </c>
      <c r="AD60" s="51">
        <v>0</v>
      </c>
      <c r="AE60" s="53"/>
      <c r="AF60" s="48">
        <v>350000</v>
      </c>
      <c r="AG60" s="51">
        <v>0</v>
      </c>
      <c r="AH60" s="49"/>
      <c r="AI60" s="48">
        <v>350000</v>
      </c>
      <c r="AJ60" s="51">
        <v>0</v>
      </c>
      <c r="AK60" s="55"/>
      <c r="AL60" s="49">
        <f>B60+E60+H60+K60+N60+Q60+T60+W60+Z60+AC60+AF60+AI60</f>
        <v>3900000</v>
      </c>
      <c r="AM60" s="54">
        <f t="shared" si="17"/>
        <v>424760</v>
      </c>
      <c r="AN60" s="53">
        <f t="shared" si="25"/>
        <v>0.10891282051282052</v>
      </c>
      <c r="AO60" s="45"/>
      <c r="AP60" s="45"/>
    </row>
    <row r="61" spans="1:42" s="46" customFormat="1" x14ac:dyDescent="0.3">
      <c r="A61" s="56" t="s">
        <v>66</v>
      </c>
      <c r="B61" s="48">
        <v>4132000</v>
      </c>
      <c r="C61" s="51">
        <f>'[1]Relación Egresos'!$D$47+'[1]Relación Egresos'!$D$88</f>
        <v>3617210</v>
      </c>
      <c r="D61" s="50">
        <f>C61/B61</f>
        <v>0.87541384317521787</v>
      </c>
      <c r="E61" s="48">
        <v>3700000</v>
      </c>
      <c r="F61" s="51">
        <f>'[1]Relación Egresos'!$D$133+'[1]Relación Egresos'!$D$217</f>
        <v>4178980</v>
      </c>
      <c r="G61" s="50">
        <f>F61/E61</f>
        <v>1.1294540540540541</v>
      </c>
      <c r="H61" s="48">
        <v>4178000</v>
      </c>
      <c r="I61" s="51">
        <f>'[1]Relación Egresos'!$D$314+'[1]Relación Egresos'!$D$277</f>
        <v>3904100</v>
      </c>
      <c r="J61" s="50">
        <f>I61/H61</f>
        <v>0.93444231689803736</v>
      </c>
      <c r="K61" s="48">
        <v>4132000</v>
      </c>
      <c r="L61" s="51"/>
      <c r="M61" s="50">
        <f>L61/K61</f>
        <v>0</v>
      </c>
      <c r="N61" s="48">
        <v>4132000</v>
      </c>
      <c r="O61" s="51"/>
      <c r="P61" s="50">
        <f>O61/N61</f>
        <v>0</v>
      </c>
      <c r="Q61" s="48">
        <v>4132000</v>
      </c>
      <c r="R61" s="51"/>
      <c r="S61" s="50">
        <f>R61/Q61</f>
        <v>0</v>
      </c>
      <c r="T61" s="48">
        <v>4132000</v>
      </c>
      <c r="U61" s="51"/>
      <c r="V61" s="50">
        <f>U61/T61</f>
        <v>0</v>
      </c>
      <c r="W61" s="48">
        <v>4132000</v>
      </c>
      <c r="X61" s="51"/>
      <c r="Y61" s="50">
        <f>X61/W61</f>
        <v>0</v>
      </c>
      <c r="Z61" s="48">
        <v>4132000</v>
      </c>
      <c r="AA61" s="51"/>
      <c r="AB61" s="50">
        <f>AA61/Z61</f>
        <v>0</v>
      </c>
      <c r="AC61" s="48">
        <v>4132000</v>
      </c>
      <c r="AD61" s="51"/>
      <c r="AE61" s="50">
        <f>AD61/AC61</f>
        <v>0</v>
      </c>
      <c r="AF61" s="48">
        <v>4132000</v>
      </c>
      <c r="AG61" s="51"/>
      <c r="AH61" s="50">
        <f>AG61/AF61</f>
        <v>0</v>
      </c>
      <c r="AI61" s="48">
        <v>4132000</v>
      </c>
      <c r="AJ61" s="51"/>
      <c r="AK61" s="50">
        <f>AJ61/AI61</f>
        <v>0</v>
      </c>
      <c r="AL61" s="49">
        <f>B61+E61+H61+K61+N61+Q61+T61+W61+Z61+AC61+AF61+AI61</f>
        <v>49198000</v>
      </c>
      <c r="AM61" s="54">
        <f t="shared" si="17"/>
        <v>11700290</v>
      </c>
      <c r="AN61" s="53">
        <f t="shared" si="25"/>
        <v>0.23782043985527868</v>
      </c>
      <c r="AO61" s="45"/>
      <c r="AP61" s="45"/>
    </row>
    <row r="62" spans="1:42" s="46" customFormat="1" x14ac:dyDescent="0.3">
      <c r="A62" s="56" t="s">
        <v>67</v>
      </c>
      <c r="B62" s="48">
        <v>1109000</v>
      </c>
      <c r="C62" s="51">
        <f>'[1]Relación Egresos'!$E$22+'[1]Relación Egresos'!$E$12</f>
        <v>959673</v>
      </c>
      <c r="D62" s="50">
        <f>C62/B62</f>
        <v>0.86534986474301168</v>
      </c>
      <c r="E62" s="48">
        <f>B62</f>
        <v>1109000</v>
      </c>
      <c r="F62" s="51">
        <f>'[1]Relación Egresos'!$D$118+'[1]Relación Egresos'!$E$210</f>
        <v>961023</v>
      </c>
      <c r="G62" s="52">
        <f>F62/E62</f>
        <v>0.86656717763751123</v>
      </c>
      <c r="H62" s="48">
        <v>962000</v>
      </c>
      <c r="I62" s="51">
        <f>'[1]Relación Egresos'!$D$237+'[1]Relación Egresos'!$D$309</f>
        <v>959673</v>
      </c>
      <c r="J62" s="50">
        <f>I62/H62</f>
        <v>0.99758108108108112</v>
      </c>
      <c r="K62" s="48">
        <v>950000</v>
      </c>
      <c r="L62" s="51">
        <f>'[1]Relación Egresos'!$D$344</f>
        <v>542308</v>
      </c>
      <c r="M62" s="50">
        <f>L62/K62</f>
        <v>0.57085052631578947</v>
      </c>
      <c r="N62" s="48">
        <v>950000</v>
      </c>
      <c r="O62" s="51"/>
      <c r="P62" s="50">
        <f>O62/N62</f>
        <v>0</v>
      </c>
      <c r="Q62" s="48">
        <v>950000</v>
      </c>
      <c r="R62" s="51"/>
      <c r="S62" s="53">
        <f>R62/Q62</f>
        <v>0</v>
      </c>
      <c r="T62" s="48">
        <v>950000</v>
      </c>
      <c r="U62" s="51"/>
      <c r="V62" s="50">
        <f>U62/T62</f>
        <v>0</v>
      </c>
      <c r="W62" s="48">
        <v>950000</v>
      </c>
      <c r="X62" s="51"/>
      <c r="Y62" s="50">
        <f t="shared" si="0"/>
        <v>0</v>
      </c>
      <c r="Z62" s="48">
        <v>950000</v>
      </c>
      <c r="AA62" s="51"/>
      <c r="AB62" s="50">
        <f t="shared" si="23"/>
        <v>0</v>
      </c>
      <c r="AC62" s="48">
        <v>950000</v>
      </c>
      <c r="AD62" s="51"/>
      <c r="AE62" s="53"/>
      <c r="AF62" s="48">
        <v>950000</v>
      </c>
      <c r="AG62" s="51"/>
      <c r="AH62" s="49"/>
      <c r="AI62" s="48">
        <v>950000</v>
      </c>
      <c r="AJ62" s="51"/>
      <c r="AK62" s="55"/>
      <c r="AL62" s="49">
        <f>B62+E62+H62+K62+N62+Q62+T62+W62+Z62+AC62+AF62+AI62</f>
        <v>11730000</v>
      </c>
      <c r="AM62" s="54">
        <f t="shared" si="17"/>
        <v>3422677</v>
      </c>
      <c r="AN62" s="53">
        <f t="shared" si="25"/>
        <v>0.29178832054560955</v>
      </c>
      <c r="AO62" s="45"/>
      <c r="AP62" s="45"/>
    </row>
    <row r="63" spans="1:42" s="46" customFormat="1" x14ac:dyDescent="0.3">
      <c r="A63" s="56" t="s">
        <v>68</v>
      </c>
      <c r="B63" s="48">
        <v>2750000</v>
      </c>
      <c r="C63" s="51">
        <f>'[1]Relación Egresos'!$D$4+'[1]Relación Egresos'!$D$85</f>
        <v>2710020</v>
      </c>
      <c r="D63" s="50">
        <f>C63/B63</f>
        <v>0.98546181818181822</v>
      </c>
      <c r="E63" s="48">
        <v>2750000</v>
      </c>
      <c r="F63" s="51">
        <f>'[1]Relación Egresos'!$D$214+'[1]Relación Egresos'!$E$114</f>
        <v>2508096</v>
      </c>
      <c r="G63" s="52">
        <f>F63/E63</f>
        <v>0.91203490909090912</v>
      </c>
      <c r="H63" s="48">
        <v>2750000</v>
      </c>
      <c r="I63" s="51">
        <f>'[1]Relación Egresos'!$D$238+'[1]Relación Egresos'!$D$310</f>
        <v>2529905</v>
      </c>
      <c r="J63" s="50">
        <f>I63/H63</f>
        <v>0.91996545454545453</v>
      </c>
      <c r="K63" s="48">
        <v>2750000</v>
      </c>
      <c r="L63" s="51">
        <f>'[1]Relación Egresos'!$D$345</f>
        <v>1056152</v>
      </c>
      <c r="M63" s="50">
        <f>L63/K63</f>
        <v>0.38405527272727275</v>
      </c>
      <c r="N63" s="48">
        <v>2750000</v>
      </c>
      <c r="O63" s="51"/>
      <c r="P63" s="50">
        <f>O63/N63</f>
        <v>0</v>
      </c>
      <c r="Q63" s="48">
        <v>2750000</v>
      </c>
      <c r="R63" s="51"/>
      <c r="S63" s="50">
        <f>R63/Q63</f>
        <v>0</v>
      </c>
      <c r="T63" s="48">
        <v>2750000</v>
      </c>
      <c r="U63" s="51"/>
      <c r="V63" s="50">
        <f>U63/T63</f>
        <v>0</v>
      </c>
      <c r="W63" s="48">
        <v>2750000</v>
      </c>
      <c r="X63" s="51"/>
      <c r="Y63" s="50">
        <f t="shared" si="0"/>
        <v>0</v>
      </c>
      <c r="Z63" s="48">
        <v>2750000</v>
      </c>
      <c r="AA63" s="51"/>
      <c r="AB63" s="50">
        <f t="shared" si="23"/>
        <v>0</v>
      </c>
      <c r="AC63" s="48">
        <v>2750000</v>
      </c>
      <c r="AD63" s="51"/>
      <c r="AE63" s="53"/>
      <c r="AF63" s="48">
        <v>2750000</v>
      </c>
      <c r="AG63" s="51"/>
      <c r="AH63" s="49"/>
      <c r="AI63" s="48">
        <v>2750000</v>
      </c>
      <c r="AJ63" s="51"/>
      <c r="AK63" s="55"/>
      <c r="AL63" s="49">
        <f>B63+E63+H63+K63+N63+Q63+T63+W63+Z63+AC63+AF63+AI63</f>
        <v>33000000</v>
      </c>
      <c r="AM63" s="54">
        <f t="shared" si="17"/>
        <v>8804173</v>
      </c>
      <c r="AN63" s="53">
        <f t="shared" si="25"/>
        <v>0.26679312121212123</v>
      </c>
      <c r="AO63" s="45"/>
      <c r="AP63" s="45"/>
    </row>
    <row r="64" spans="1:42" s="46" customFormat="1" x14ac:dyDescent="0.3">
      <c r="A64" s="96" t="s">
        <v>69</v>
      </c>
      <c r="B64" s="97">
        <f>SUM(B60:B63)</f>
        <v>8341000</v>
      </c>
      <c r="C64" s="97">
        <f>SUM(C60:C63)</f>
        <v>7446723</v>
      </c>
      <c r="D64" s="99">
        <f>C64/B64</f>
        <v>0.89278539743436036</v>
      </c>
      <c r="E64" s="97">
        <f>SUM(E60:E63)</f>
        <v>7759000</v>
      </c>
      <c r="F64" s="97">
        <f>SUM(F60:F63)</f>
        <v>7812179</v>
      </c>
      <c r="G64" s="108">
        <f>F64/E64</f>
        <v>1.0068538471452506</v>
      </c>
      <c r="H64" s="97">
        <f>SUM(H60:H63)</f>
        <v>8090000</v>
      </c>
      <c r="I64" s="97">
        <f>SUM(I60:I63)</f>
        <v>7494538</v>
      </c>
      <c r="J64" s="98">
        <f>I64/H64</f>
        <v>0.92639530284301608</v>
      </c>
      <c r="K64" s="97">
        <f>SUM(K60:K63)</f>
        <v>8182000</v>
      </c>
      <c r="L64" s="97">
        <f>SUM(L60:L63)</f>
        <v>1598460</v>
      </c>
      <c r="M64" s="99">
        <f>L64/K64</f>
        <v>0.19536299193351259</v>
      </c>
      <c r="N64" s="97">
        <f>SUM(N60:N63)</f>
        <v>8182000</v>
      </c>
      <c r="O64" s="97">
        <f>SUM(O60:O63)</f>
        <v>0</v>
      </c>
      <c r="P64" s="99">
        <f>O64/N64</f>
        <v>0</v>
      </c>
      <c r="Q64" s="97">
        <f>SUM(Q60:Q63)</f>
        <v>8182000</v>
      </c>
      <c r="R64" s="97">
        <f>SUM(R60:R63)</f>
        <v>0</v>
      </c>
      <c r="S64" s="98">
        <f>R64/Q64</f>
        <v>0</v>
      </c>
      <c r="T64" s="97">
        <f>SUM(T60:T63)</f>
        <v>8182000</v>
      </c>
      <c r="U64" s="97">
        <f>SUM(U60:U63)</f>
        <v>0</v>
      </c>
      <c r="V64" s="98">
        <f>U64/T64</f>
        <v>0</v>
      </c>
      <c r="W64" s="97">
        <f>SUM(W60:W63)</f>
        <v>8182000</v>
      </c>
      <c r="X64" s="97">
        <f>SUM(X60:X63)</f>
        <v>0</v>
      </c>
      <c r="Y64" s="98">
        <f t="shared" si="0"/>
        <v>0</v>
      </c>
      <c r="Z64" s="97">
        <f>SUM(Z60:Z63)</f>
        <v>8182000</v>
      </c>
      <c r="AA64" s="97">
        <f>SUM(AA60:AA63)</f>
        <v>0</v>
      </c>
      <c r="AB64" s="98">
        <f t="shared" si="23"/>
        <v>0</v>
      </c>
      <c r="AC64" s="97">
        <f>SUM(AC60:AC63)</f>
        <v>8182000</v>
      </c>
      <c r="AD64" s="97">
        <f>SUM(AD60:AD63)</f>
        <v>0</v>
      </c>
      <c r="AE64" s="101"/>
      <c r="AF64" s="97">
        <f>SUM(AF60:AF63)</f>
        <v>8182000</v>
      </c>
      <c r="AG64" s="97">
        <f>SUM(AG60:AG63)</f>
        <v>0</v>
      </c>
      <c r="AH64" s="102"/>
      <c r="AI64" s="97">
        <f>SUM(AI60:AI63)</f>
        <v>8182000</v>
      </c>
      <c r="AJ64" s="97">
        <f>SUM(AJ60:AJ63)</f>
        <v>0</v>
      </c>
      <c r="AK64" s="109"/>
      <c r="AL64" s="97">
        <f>B64+E64+H64+K64+N64+Q64+T64+W64+Z64+AC64+AF64+AI64</f>
        <v>97828000</v>
      </c>
      <c r="AM64" s="100">
        <f t="shared" si="17"/>
        <v>24351900</v>
      </c>
      <c r="AN64" s="103">
        <f t="shared" si="25"/>
        <v>0.24892566545365336</v>
      </c>
      <c r="AO64" s="45"/>
      <c r="AP64" s="45"/>
    </row>
    <row r="65" spans="1:42" s="46" customFormat="1" x14ac:dyDescent="0.3">
      <c r="A65" s="107" t="s">
        <v>70</v>
      </c>
      <c r="B65" s="94"/>
      <c r="C65" s="51"/>
      <c r="D65" s="49"/>
      <c r="E65" s="94"/>
      <c r="F65" s="51"/>
      <c r="G65" s="51"/>
      <c r="H65" s="94"/>
      <c r="I65" s="51"/>
      <c r="J65" s="49"/>
      <c r="K65" s="94"/>
      <c r="L65" s="51"/>
      <c r="M65" s="49"/>
      <c r="N65" s="94"/>
      <c r="O65" s="51"/>
      <c r="P65" s="49"/>
      <c r="Q65" s="94"/>
      <c r="R65" s="51"/>
      <c r="S65" s="50"/>
      <c r="T65" s="94"/>
      <c r="U65" s="51"/>
      <c r="V65" s="49"/>
      <c r="W65" s="94"/>
      <c r="X65" s="51"/>
      <c r="Y65" s="49"/>
      <c r="Z65" s="94"/>
      <c r="AA65" s="51"/>
      <c r="AB65" s="50"/>
      <c r="AC65" s="94"/>
      <c r="AD65" s="51"/>
      <c r="AE65" s="53"/>
      <c r="AF65" s="94"/>
      <c r="AG65" s="51"/>
      <c r="AH65" s="49"/>
      <c r="AI65" s="94"/>
      <c r="AJ65" s="51"/>
      <c r="AK65" s="55"/>
      <c r="AL65" s="49"/>
      <c r="AM65" s="54"/>
      <c r="AN65" s="54"/>
      <c r="AO65" s="45"/>
      <c r="AP65" s="45"/>
    </row>
    <row r="66" spans="1:42" s="46" customFormat="1" x14ac:dyDescent="0.3">
      <c r="A66" s="56" t="s">
        <v>71</v>
      </c>
      <c r="B66" s="48">
        <v>670000</v>
      </c>
      <c r="C66" s="51">
        <f>'[1]Relación Egresos'!$D$53</f>
        <v>696584</v>
      </c>
      <c r="D66" s="50">
        <v>0</v>
      </c>
      <c r="E66" s="48">
        <v>670000</v>
      </c>
      <c r="F66" s="51">
        <f>'[1]Relación Egresos'!$D$137</f>
        <v>892083</v>
      </c>
      <c r="G66" s="52">
        <f>F66/E66</f>
        <v>1.3314671641791045</v>
      </c>
      <c r="H66" s="48">
        <v>900000</v>
      </c>
      <c r="I66" s="51">
        <f>'[1]Relación Egresos'!$D$283</f>
        <v>825269</v>
      </c>
      <c r="J66" s="50">
        <f>I66/H66</f>
        <v>0.91696555555555559</v>
      </c>
      <c r="K66" s="48">
        <v>670000</v>
      </c>
      <c r="L66" s="51"/>
      <c r="M66" s="50">
        <f>L66/K66</f>
        <v>0</v>
      </c>
      <c r="N66" s="48">
        <v>670000</v>
      </c>
      <c r="O66" s="51"/>
      <c r="P66" s="50">
        <f>O66/N66</f>
        <v>0</v>
      </c>
      <c r="Q66" s="48">
        <v>670000</v>
      </c>
      <c r="R66" s="51"/>
      <c r="S66" s="50">
        <f>R66/Q66</f>
        <v>0</v>
      </c>
      <c r="T66" s="48">
        <v>670000</v>
      </c>
      <c r="U66" s="51"/>
      <c r="V66" s="50">
        <f>U66/T66</f>
        <v>0</v>
      </c>
      <c r="W66" s="48">
        <v>670000</v>
      </c>
      <c r="X66" s="51"/>
      <c r="Y66" s="50">
        <f t="shared" si="0"/>
        <v>0</v>
      </c>
      <c r="Z66" s="48">
        <v>670000</v>
      </c>
      <c r="AA66" s="51"/>
      <c r="AB66" s="50">
        <f t="shared" si="23"/>
        <v>0</v>
      </c>
      <c r="AC66" s="48">
        <v>670000</v>
      </c>
      <c r="AD66" s="51"/>
      <c r="AE66" s="53"/>
      <c r="AF66" s="48">
        <v>670000</v>
      </c>
      <c r="AG66" s="51"/>
      <c r="AH66" s="49"/>
      <c r="AI66" s="48">
        <v>670000</v>
      </c>
      <c r="AJ66" s="51"/>
      <c r="AK66" s="55"/>
      <c r="AL66" s="49">
        <f>B66+E66+H66+K66+N66+Q66+T66+W66+Z66+AC66+AF66+AI66</f>
        <v>8270000</v>
      </c>
      <c r="AM66" s="54">
        <f t="shared" si="17"/>
        <v>2413936</v>
      </c>
      <c r="AN66" s="53">
        <f t="shared" si="25"/>
        <v>0.29189068923821038</v>
      </c>
      <c r="AO66" s="45"/>
      <c r="AP66" s="45"/>
    </row>
    <row r="67" spans="1:42" s="46" customFormat="1" x14ac:dyDescent="0.3">
      <c r="A67" s="56" t="s">
        <v>72</v>
      </c>
      <c r="B67" s="48">
        <v>150000</v>
      </c>
      <c r="C67" s="51">
        <f>'[1]Relación Egresos'!$D$67</f>
        <v>176085</v>
      </c>
      <c r="D67" s="50">
        <f>C67/B67</f>
        <v>1.1738999999999999</v>
      </c>
      <c r="E67" s="48">
        <v>150000</v>
      </c>
      <c r="F67" s="51">
        <f>'[1]Relación Egresos'!$D$151</f>
        <v>109200</v>
      </c>
      <c r="G67" s="52">
        <f t="shared" ref="G67:G75" si="28">F67/E67</f>
        <v>0.72799999999999998</v>
      </c>
      <c r="H67" s="48">
        <v>150000</v>
      </c>
      <c r="I67" s="51">
        <f>'[1]Relación Egresos'!$D$296</f>
        <v>156408</v>
      </c>
      <c r="J67" s="50">
        <f>I67/H67</f>
        <v>1.0427200000000001</v>
      </c>
      <c r="K67" s="48">
        <v>150000</v>
      </c>
      <c r="L67" s="51"/>
      <c r="M67" s="50">
        <f>L67/K67</f>
        <v>0</v>
      </c>
      <c r="N67" s="48">
        <v>150000</v>
      </c>
      <c r="O67" s="51"/>
      <c r="P67" s="50">
        <f>O67/N67</f>
        <v>0</v>
      </c>
      <c r="Q67" s="48">
        <v>150000</v>
      </c>
      <c r="R67" s="51"/>
      <c r="S67" s="50">
        <f>R67/Q67</f>
        <v>0</v>
      </c>
      <c r="T67" s="48">
        <v>150000</v>
      </c>
      <c r="U67" s="51"/>
      <c r="V67" s="50">
        <f t="shared" ref="V67:V81" si="29">U67/T67</f>
        <v>0</v>
      </c>
      <c r="W67" s="48">
        <v>150000</v>
      </c>
      <c r="X67" s="51"/>
      <c r="Y67" s="50">
        <f t="shared" si="0"/>
        <v>0</v>
      </c>
      <c r="Z67" s="48">
        <v>150000</v>
      </c>
      <c r="AA67" s="51"/>
      <c r="AB67" s="50">
        <f t="shared" si="23"/>
        <v>0</v>
      </c>
      <c r="AC67" s="48">
        <v>150000</v>
      </c>
      <c r="AD67" s="51"/>
      <c r="AE67" s="53"/>
      <c r="AF67" s="48">
        <v>150000</v>
      </c>
      <c r="AG67" s="51"/>
      <c r="AH67" s="49"/>
      <c r="AI67" s="48">
        <v>150000</v>
      </c>
      <c r="AJ67" s="51"/>
      <c r="AK67" s="55"/>
      <c r="AL67" s="49">
        <f t="shared" ref="AL67:AL80" si="30">B67+E67+H67+K67+N67+Q67+T67+W67+Z67+AC67+AF67+AI67</f>
        <v>1800000</v>
      </c>
      <c r="AM67" s="54">
        <f t="shared" si="17"/>
        <v>441693</v>
      </c>
      <c r="AN67" s="53">
        <f t="shared" si="25"/>
        <v>0.24538499999999999</v>
      </c>
      <c r="AO67" s="45"/>
      <c r="AP67" s="45"/>
    </row>
    <row r="68" spans="1:42" s="46" customFormat="1" x14ac:dyDescent="0.3">
      <c r="A68" s="56" t="s">
        <v>73</v>
      </c>
      <c r="B68" s="48">
        <v>0</v>
      </c>
      <c r="C68" s="51"/>
      <c r="D68" s="50">
        <v>0</v>
      </c>
      <c r="E68" s="48">
        <v>0</v>
      </c>
      <c r="F68" s="51"/>
      <c r="G68" s="52">
        <v>0</v>
      </c>
      <c r="H68" s="48">
        <v>0</v>
      </c>
      <c r="I68" s="51"/>
      <c r="J68" s="50">
        <v>0</v>
      </c>
      <c r="K68" s="48">
        <v>0</v>
      </c>
      <c r="L68" s="51"/>
      <c r="M68" s="50" t="e">
        <f>L68/K68</f>
        <v>#DIV/0!</v>
      </c>
      <c r="N68" s="48">
        <v>0</v>
      </c>
      <c r="O68" s="51"/>
      <c r="P68" s="50"/>
      <c r="Q68" s="48">
        <v>0</v>
      </c>
      <c r="R68" s="51"/>
      <c r="S68" s="50"/>
      <c r="T68" s="48">
        <v>0</v>
      </c>
      <c r="U68" s="51"/>
      <c r="V68" s="50" t="e">
        <f t="shared" si="29"/>
        <v>#DIV/0!</v>
      </c>
      <c r="W68" s="48">
        <v>0</v>
      </c>
      <c r="X68" s="51"/>
      <c r="Y68" s="50"/>
      <c r="Z68" s="48">
        <v>0</v>
      </c>
      <c r="AA68" s="51"/>
      <c r="AB68" s="50"/>
      <c r="AC68" s="48">
        <v>0</v>
      </c>
      <c r="AD68" s="51"/>
      <c r="AE68" s="53"/>
      <c r="AF68" s="48">
        <v>0</v>
      </c>
      <c r="AG68" s="51"/>
      <c r="AH68" s="49"/>
      <c r="AI68" s="48">
        <v>0</v>
      </c>
      <c r="AJ68" s="51"/>
      <c r="AK68" s="55"/>
      <c r="AL68" s="49">
        <f t="shared" si="30"/>
        <v>0</v>
      </c>
      <c r="AM68" s="54">
        <f t="shared" si="17"/>
        <v>0</v>
      </c>
      <c r="AN68" s="53" t="e">
        <f t="shared" si="25"/>
        <v>#DIV/0!</v>
      </c>
      <c r="AO68" s="45"/>
      <c r="AP68" s="45"/>
    </row>
    <row r="69" spans="1:42" s="46" customFormat="1" x14ac:dyDescent="0.3">
      <c r="A69" s="56" t="s">
        <v>74</v>
      </c>
      <c r="B69" s="48">
        <v>0</v>
      </c>
      <c r="C69" s="51"/>
      <c r="D69" s="50">
        <v>0</v>
      </c>
      <c r="E69" s="48">
        <v>0</v>
      </c>
      <c r="F69" s="51"/>
      <c r="G69" s="52" t="e">
        <f t="shared" si="28"/>
        <v>#DIV/0!</v>
      </c>
      <c r="H69" s="48">
        <v>0</v>
      </c>
      <c r="I69" s="51"/>
      <c r="J69" s="50">
        <v>0</v>
      </c>
      <c r="K69" s="48">
        <v>0</v>
      </c>
      <c r="L69" s="51"/>
      <c r="M69" s="50"/>
      <c r="N69" s="48">
        <v>0</v>
      </c>
      <c r="O69" s="51"/>
      <c r="P69" s="50"/>
      <c r="Q69" s="48">
        <v>0</v>
      </c>
      <c r="R69" s="51"/>
      <c r="S69" s="50"/>
      <c r="T69" s="48">
        <v>0</v>
      </c>
      <c r="U69" s="51"/>
      <c r="V69" s="50"/>
      <c r="W69" s="48">
        <v>0</v>
      </c>
      <c r="X69" s="51"/>
      <c r="Y69" s="50"/>
      <c r="Z69" s="48">
        <v>0</v>
      </c>
      <c r="AA69" s="51"/>
      <c r="AB69" s="50"/>
      <c r="AC69" s="48">
        <v>0</v>
      </c>
      <c r="AD69" s="51"/>
      <c r="AE69" s="53"/>
      <c r="AF69" s="48">
        <v>0</v>
      </c>
      <c r="AG69" s="51"/>
      <c r="AH69" s="49"/>
      <c r="AI69" s="48">
        <v>0</v>
      </c>
      <c r="AJ69" s="51"/>
      <c r="AK69" s="55"/>
      <c r="AL69" s="49">
        <f>B69+E69+H69+K69+Q69+T69+W69+Z69+AC69+AF69+AI69</f>
        <v>0</v>
      </c>
      <c r="AM69" s="54">
        <f t="shared" si="17"/>
        <v>0</v>
      </c>
      <c r="AN69" s="53" t="e">
        <f t="shared" si="25"/>
        <v>#DIV/0!</v>
      </c>
      <c r="AO69" s="45"/>
      <c r="AP69" s="45"/>
    </row>
    <row r="70" spans="1:42" s="46" customFormat="1" x14ac:dyDescent="0.3">
      <c r="A70" s="56" t="s">
        <v>75</v>
      </c>
      <c r="B70" s="48">
        <v>105000</v>
      </c>
      <c r="C70" s="51">
        <f>'[1]Relación Egresos'!$D$102</f>
        <v>105000</v>
      </c>
      <c r="D70" s="50">
        <f>C70/B70</f>
        <v>1</v>
      </c>
      <c r="E70" s="48">
        <v>105000</v>
      </c>
      <c r="F70" s="51">
        <f>'[1]Relación Egresos'!$D$219</f>
        <v>105000</v>
      </c>
      <c r="G70" s="50">
        <f t="shared" si="28"/>
        <v>1</v>
      </c>
      <c r="H70" s="48">
        <v>105000</v>
      </c>
      <c r="I70" s="51">
        <f>'[1]Relación Egresos'!$D$320</f>
        <v>105000</v>
      </c>
      <c r="J70" s="50">
        <f>I70/H70</f>
        <v>1</v>
      </c>
      <c r="K70" s="48">
        <v>105000</v>
      </c>
      <c r="L70" s="51"/>
      <c r="M70" s="50">
        <f>L70/K70</f>
        <v>0</v>
      </c>
      <c r="N70" s="48">
        <v>105000</v>
      </c>
      <c r="O70" s="51"/>
      <c r="P70" s="50">
        <f>O70/N70</f>
        <v>0</v>
      </c>
      <c r="Q70" s="48">
        <v>105000</v>
      </c>
      <c r="R70" s="51"/>
      <c r="S70" s="50">
        <f>R70/Q70</f>
        <v>0</v>
      </c>
      <c r="T70" s="48">
        <v>105000</v>
      </c>
      <c r="U70" s="51"/>
      <c r="V70" s="50">
        <f>U70/T70</f>
        <v>0</v>
      </c>
      <c r="W70" s="48">
        <v>105000</v>
      </c>
      <c r="X70" s="51"/>
      <c r="Y70" s="50">
        <f>X70/W70</f>
        <v>0</v>
      </c>
      <c r="Z70" s="48">
        <v>105000</v>
      </c>
      <c r="AA70" s="51"/>
      <c r="AB70" s="50">
        <f>AA70/Z70</f>
        <v>0</v>
      </c>
      <c r="AC70" s="48">
        <v>105000</v>
      </c>
      <c r="AD70" s="51"/>
      <c r="AE70" s="50">
        <f>AD70/AC70</f>
        <v>0</v>
      </c>
      <c r="AF70" s="48">
        <v>105000</v>
      </c>
      <c r="AG70" s="51"/>
      <c r="AH70" s="50">
        <f>AG70/AF70</f>
        <v>0</v>
      </c>
      <c r="AI70" s="48">
        <v>105000</v>
      </c>
      <c r="AJ70" s="51"/>
      <c r="AK70" s="50">
        <f>AJ70/AI70</f>
        <v>0</v>
      </c>
      <c r="AL70" s="49">
        <f t="shared" si="30"/>
        <v>1260000</v>
      </c>
      <c r="AM70" s="54">
        <f t="shared" si="17"/>
        <v>315000</v>
      </c>
      <c r="AN70" s="53">
        <f t="shared" si="25"/>
        <v>0.25</v>
      </c>
      <c r="AO70" s="45"/>
      <c r="AP70" s="45"/>
    </row>
    <row r="71" spans="1:42" s="46" customFormat="1" x14ac:dyDescent="0.3">
      <c r="A71" s="56" t="s">
        <v>76</v>
      </c>
      <c r="B71" s="48">
        <v>160000</v>
      </c>
      <c r="C71" s="51">
        <f>'[1]Relación Egresos'!$D$62</f>
        <v>160000</v>
      </c>
      <c r="D71" s="50">
        <f>C71/B71</f>
        <v>1</v>
      </c>
      <c r="E71" s="48">
        <v>160000</v>
      </c>
      <c r="F71" s="51">
        <f>'[1]Relación Egresos'!$D$145</f>
        <v>160000</v>
      </c>
      <c r="G71" s="52">
        <f t="shared" si="28"/>
        <v>1</v>
      </c>
      <c r="H71" s="48">
        <v>160000</v>
      </c>
      <c r="I71" s="51">
        <f>'[1]Relación Egresos'!$D$293</f>
        <v>160000</v>
      </c>
      <c r="J71" s="50">
        <f>I71/H71</f>
        <v>1</v>
      </c>
      <c r="K71" s="48">
        <v>160000</v>
      </c>
      <c r="L71" s="51"/>
      <c r="M71" s="50">
        <f>L71/K71</f>
        <v>0</v>
      </c>
      <c r="N71" s="48">
        <v>160000</v>
      </c>
      <c r="O71" s="51"/>
      <c r="P71" s="50">
        <f>O71/N71</f>
        <v>0</v>
      </c>
      <c r="Q71" s="48">
        <v>160000</v>
      </c>
      <c r="R71" s="51"/>
      <c r="S71" s="50">
        <f>R71/Q71</f>
        <v>0</v>
      </c>
      <c r="T71" s="48">
        <v>160000</v>
      </c>
      <c r="U71" s="51"/>
      <c r="V71" s="50">
        <f t="shared" si="29"/>
        <v>0</v>
      </c>
      <c r="W71" s="48">
        <v>160000</v>
      </c>
      <c r="X71" s="51"/>
      <c r="Y71" s="50">
        <f t="shared" si="0"/>
        <v>0</v>
      </c>
      <c r="Z71" s="48">
        <v>160000</v>
      </c>
      <c r="AA71" s="51"/>
      <c r="AB71" s="50">
        <f t="shared" si="23"/>
        <v>0</v>
      </c>
      <c r="AC71" s="48">
        <v>160000</v>
      </c>
      <c r="AD71" s="51"/>
      <c r="AE71" s="53"/>
      <c r="AF71" s="48">
        <v>160000</v>
      </c>
      <c r="AG71" s="51"/>
      <c r="AH71" s="49"/>
      <c r="AI71" s="48">
        <v>160000</v>
      </c>
      <c r="AJ71" s="51"/>
      <c r="AK71" s="55"/>
      <c r="AL71" s="49">
        <f t="shared" si="30"/>
        <v>1920000</v>
      </c>
      <c r="AM71" s="54">
        <f t="shared" si="17"/>
        <v>480000</v>
      </c>
      <c r="AN71" s="53">
        <f t="shared" si="25"/>
        <v>0.25</v>
      </c>
      <c r="AO71" s="45"/>
      <c r="AP71" s="45"/>
    </row>
    <row r="72" spans="1:42" s="46" customFormat="1" x14ac:dyDescent="0.3">
      <c r="A72" s="56" t="s">
        <v>77</v>
      </c>
      <c r="B72" s="48">
        <f>C72</f>
        <v>3441017</v>
      </c>
      <c r="C72" s="51">
        <f>'[1]Relación Egresos'!$D$82</f>
        <v>3441017</v>
      </c>
      <c r="D72" s="50">
        <f>C72/B72</f>
        <v>1</v>
      </c>
      <c r="E72" s="48">
        <f>'[1]Relación Egresos'!$D$82</f>
        <v>3441017</v>
      </c>
      <c r="F72" s="51">
        <f>'[1]Relación Egresos'!$D$168</f>
        <v>3441017</v>
      </c>
      <c r="G72" s="52">
        <f t="shared" si="28"/>
        <v>1</v>
      </c>
      <c r="H72" s="48">
        <f>'[1]Relación Egresos'!$D$82</f>
        <v>3441017</v>
      </c>
      <c r="I72" s="51">
        <f>'[1]Relación Egresos'!$D$307</f>
        <v>3441017</v>
      </c>
      <c r="J72" s="50">
        <f>I72/H72</f>
        <v>1</v>
      </c>
      <c r="K72" s="48">
        <f>H72</f>
        <v>3441017</v>
      </c>
      <c r="L72" s="51"/>
      <c r="M72" s="50">
        <f>L72/K72</f>
        <v>0</v>
      </c>
      <c r="N72" s="48">
        <f>K72</f>
        <v>3441017</v>
      </c>
      <c r="O72" s="51"/>
      <c r="P72" s="50">
        <f>O72/N72</f>
        <v>0</v>
      </c>
      <c r="Q72" s="48">
        <f>N72</f>
        <v>3441017</v>
      </c>
      <c r="R72" s="51"/>
      <c r="S72" s="50">
        <f>R72/Q72</f>
        <v>0</v>
      </c>
      <c r="T72" s="48">
        <f>3500000*1.05</f>
        <v>3675000</v>
      </c>
      <c r="U72" s="51"/>
      <c r="V72" s="50">
        <f t="shared" si="29"/>
        <v>0</v>
      </c>
      <c r="W72" s="48">
        <f>3500000*1.05</f>
        <v>3675000</v>
      </c>
      <c r="X72" s="51"/>
      <c r="Y72" s="50">
        <f t="shared" si="0"/>
        <v>0</v>
      </c>
      <c r="Z72" s="48">
        <f>3500000*1.05</f>
        <v>3675000</v>
      </c>
      <c r="AA72" s="51"/>
      <c r="AB72" s="50">
        <f t="shared" si="23"/>
        <v>0</v>
      </c>
      <c r="AC72" s="48">
        <f>3500000*1.05</f>
        <v>3675000</v>
      </c>
      <c r="AD72" s="51"/>
      <c r="AE72" s="53"/>
      <c r="AF72" s="48">
        <f>3500000*1.05</f>
        <v>3675000</v>
      </c>
      <c r="AG72" s="51"/>
      <c r="AH72" s="49"/>
      <c r="AI72" s="48">
        <f>3500000*1.05</f>
        <v>3675000</v>
      </c>
      <c r="AJ72" s="51"/>
      <c r="AK72" s="55"/>
      <c r="AL72" s="49">
        <f t="shared" si="30"/>
        <v>42696102</v>
      </c>
      <c r="AM72" s="54">
        <f t="shared" si="17"/>
        <v>10323051</v>
      </c>
      <c r="AN72" s="53">
        <f t="shared" si="25"/>
        <v>0.24177970625983608</v>
      </c>
      <c r="AO72" s="45"/>
      <c r="AP72" s="45"/>
    </row>
    <row r="73" spans="1:42" s="46" customFormat="1" x14ac:dyDescent="0.3">
      <c r="A73" s="56" t="s">
        <v>78</v>
      </c>
      <c r="B73" s="48">
        <v>6135531</v>
      </c>
      <c r="C73" s="51">
        <f>'[1]Relación Egresos'!$D$25+'[1]Relación Egresos'!$E$19</f>
        <v>6195123</v>
      </c>
      <c r="D73" s="50"/>
      <c r="E73" s="48">
        <v>6135531</v>
      </c>
      <c r="F73" s="51">
        <f>'[1]Relación Egresos'!$D$119</f>
        <v>6135554</v>
      </c>
      <c r="G73" s="52">
        <f t="shared" si="28"/>
        <v>1.0000037486567992</v>
      </c>
      <c r="H73" s="48"/>
      <c r="I73" s="51"/>
      <c r="J73" s="50">
        <v>0</v>
      </c>
      <c r="K73" s="48"/>
      <c r="L73" s="51"/>
      <c r="M73" s="50"/>
      <c r="N73" s="48"/>
      <c r="O73" s="51"/>
      <c r="P73" s="50">
        <v>1</v>
      </c>
      <c r="Q73" s="48">
        <f>7485909/2</f>
        <v>3742954.5</v>
      </c>
      <c r="R73" s="51"/>
      <c r="S73" s="50"/>
      <c r="T73" s="48">
        <f>3500000*1.05</f>
        <v>3675000</v>
      </c>
      <c r="U73" s="51"/>
      <c r="V73" s="50"/>
      <c r="W73" s="48">
        <f>3500000*1.05</f>
        <v>3675000</v>
      </c>
      <c r="X73" s="51"/>
      <c r="Y73" s="50"/>
      <c r="Z73" s="48">
        <f>3500000*1.05</f>
        <v>3675000</v>
      </c>
      <c r="AA73" s="51"/>
      <c r="AB73" s="50"/>
      <c r="AC73" s="48">
        <f>3500000*1.05</f>
        <v>3675000</v>
      </c>
      <c r="AD73" s="51"/>
      <c r="AE73" s="53"/>
      <c r="AF73" s="48">
        <f>3500000*1.05</f>
        <v>3675000</v>
      </c>
      <c r="AG73" s="51"/>
      <c r="AH73" s="49"/>
      <c r="AI73" s="48">
        <f>3500000*1.05</f>
        <v>3675000</v>
      </c>
      <c r="AJ73" s="51"/>
      <c r="AK73" s="55"/>
      <c r="AL73" s="49">
        <f t="shared" si="30"/>
        <v>38064016.5</v>
      </c>
      <c r="AM73" s="54">
        <f t="shared" si="17"/>
        <v>12330677</v>
      </c>
      <c r="AN73" s="53">
        <f t="shared" si="25"/>
        <v>0.32394576646949491</v>
      </c>
      <c r="AO73" s="45"/>
      <c r="AP73" s="45"/>
    </row>
    <row r="74" spans="1:42" s="46" customFormat="1" x14ac:dyDescent="0.3">
      <c r="A74" s="56" t="s">
        <v>79</v>
      </c>
      <c r="B74" s="48">
        <v>0</v>
      </c>
      <c r="C74" s="51"/>
      <c r="D74" s="50">
        <v>0</v>
      </c>
      <c r="E74" s="48">
        <v>0</v>
      </c>
      <c r="F74" s="51"/>
      <c r="G74" s="50">
        <v>0</v>
      </c>
      <c r="H74" s="48">
        <v>1143900</v>
      </c>
      <c r="I74" s="51">
        <f>'[1]Relación Egresos'!$D$280</f>
        <v>1143900</v>
      </c>
      <c r="J74" s="50">
        <v>0</v>
      </c>
      <c r="K74" s="48">
        <v>0</v>
      </c>
      <c r="L74" s="51"/>
      <c r="M74" s="50"/>
      <c r="N74" s="48">
        <v>0</v>
      </c>
      <c r="O74" s="51"/>
      <c r="P74" s="53"/>
      <c r="Q74" s="48">
        <v>0</v>
      </c>
      <c r="R74" s="51"/>
      <c r="S74" s="50"/>
      <c r="T74" s="48"/>
      <c r="U74" s="51"/>
      <c r="V74" s="50"/>
      <c r="W74" s="48"/>
      <c r="X74" s="51"/>
      <c r="Y74" s="50"/>
      <c r="Z74" s="48"/>
      <c r="AA74" s="51"/>
      <c r="AB74" s="50">
        <v>1</v>
      </c>
      <c r="AC74" s="48"/>
      <c r="AD74" s="51"/>
      <c r="AE74" s="53"/>
      <c r="AF74" s="48"/>
      <c r="AG74" s="51"/>
      <c r="AH74" s="49"/>
      <c r="AI74" s="48"/>
      <c r="AJ74" s="51"/>
      <c r="AK74" s="55"/>
      <c r="AL74" s="49">
        <f>B74+E74+H74+K74+N74+Q74+T74+AC75+Z74+AC74+AF74+AI74</f>
        <v>2314420</v>
      </c>
      <c r="AM74" s="54">
        <f t="shared" si="17"/>
        <v>1143900</v>
      </c>
      <c r="AN74" s="53">
        <f t="shared" si="25"/>
        <v>0.49424909912634701</v>
      </c>
      <c r="AO74" s="45"/>
      <c r="AP74" s="45"/>
    </row>
    <row r="75" spans="1:42" s="46" customFormat="1" x14ac:dyDescent="0.3">
      <c r="A75" s="56" t="s">
        <v>80</v>
      </c>
      <c r="B75" s="48">
        <f>'[1]Relación Egresos'!$D$83</f>
        <v>1131175</v>
      </c>
      <c r="C75" s="51">
        <f>'[1]Relación Egresos'!$D$83</f>
        <v>1131175</v>
      </c>
      <c r="D75" s="50">
        <v>0</v>
      </c>
      <c r="E75" s="48">
        <f>'[1]Relación Egresos'!$D$83+1395000</f>
        <v>2526175</v>
      </c>
      <c r="F75" s="51">
        <f>+'[1]Relación Egresos'!$D$147+'[1]Relación Egresos'!$D$169</f>
        <v>2526175</v>
      </c>
      <c r="G75" s="52">
        <f t="shared" si="28"/>
        <v>1</v>
      </c>
      <c r="H75" s="48">
        <v>1131175</v>
      </c>
      <c r="I75" s="51"/>
      <c r="J75" s="50">
        <v>0</v>
      </c>
      <c r="K75" s="48">
        <v>1170520</v>
      </c>
      <c r="L75" s="51"/>
      <c r="M75" s="50"/>
      <c r="N75" s="48">
        <v>1170520</v>
      </c>
      <c r="O75" s="51"/>
      <c r="P75" s="53"/>
      <c r="Q75" s="48">
        <v>1170520</v>
      </c>
      <c r="R75" s="51"/>
      <c r="S75" s="50"/>
      <c r="T75" s="48">
        <v>1170520</v>
      </c>
      <c r="U75" s="51"/>
      <c r="V75" s="50">
        <f t="shared" si="29"/>
        <v>0</v>
      </c>
      <c r="W75" s="48">
        <v>1170520</v>
      </c>
      <c r="X75" s="51"/>
      <c r="Y75" s="50">
        <f t="shared" si="0"/>
        <v>0</v>
      </c>
      <c r="Z75" s="48">
        <v>1170520</v>
      </c>
      <c r="AA75" s="51"/>
      <c r="AB75" s="50">
        <f t="shared" si="23"/>
        <v>0</v>
      </c>
      <c r="AC75" s="48">
        <v>1170520</v>
      </c>
      <c r="AD75" s="51"/>
      <c r="AE75" s="53"/>
      <c r="AF75" s="48">
        <v>1170520</v>
      </c>
      <c r="AG75" s="51"/>
      <c r="AH75" s="49"/>
      <c r="AI75" s="48">
        <v>1170520</v>
      </c>
      <c r="AJ75" s="51"/>
      <c r="AK75" s="55"/>
      <c r="AL75" s="49">
        <f>B75+E75+H75+K75+N75+Q75+T75+W75+Z75+AF75+AI75</f>
        <v>14152685</v>
      </c>
      <c r="AM75" s="54">
        <f t="shared" si="17"/>
        <v>3657350</v>
      </c>
      <c r="AN75" s="53">
        <f t="shared" si="25"/>
        <v>0.25842092860824645</v>
      </c>
      <c r="AO75" s="45"/>
      <c r="AP75" s="45"/>
    </row>
    <row r="76" spans="1:42" s="46" customFormat="1" x14ac:dyDescent="0.3">
      <c r="A76" s="56" t="s">
        <v>81</v>
      </c>
      <c r="B76" s="48">
        <v>0</v>
      </c>
      <c r="C76" s="49"/>
      <c r="D76" s="50">
        <v>0</v>
      </c>
      <c r="E76" s="48">
        <v>2289342</v>
      </c>
      <c r="F76" s="49">
        <f>'[1]Relación Egresos'!$D$131+'[1]Relación Egresos'!$D$132</f>
        <v>2289342</v>
      </c>
      <c r="G76" s="50">
        <v>0</v>
      </c>
      <c r="H76" s="48">
        <v>3000000</v>
      </c>
      <c r="I76" s="49"/>
      <c r="J76" s="50">
        <v>0</v>
      </c>
      <c r="K76" s="48">
        <v>0</v>
      </c>
      <c r="L76" s="49"/>
      <c r="M76" s="50" t="e">
        <f>L76/K76</f>
        <v>#DIV/0!</v>
      </c>
      <c r="N76" s="48">
        <v>0</v>
      </c>
      <c r="O76" s="49"/>
      <c r="P76" s="53"/>
      <c r="Q76" s="48">
        <v>0</v>
      </c>
      <c r="R76" s="49"/>
      <c r="S76" s="50"/>
      <c r="T76" s="48"/>
      <c r="U76" s="49"/>
      <c r="V76" s="50" t="e">
        <f t="shared" si="29"/>
        <v>#DIV/0!</v>
      </c>
      <c r="W76" s="48"/>
      <c r="X76" s="49"/>
      <c r="Y76" s="50"/>
      <c r="Z76" s="48"/>
      <c r="AA76" s="49"/>
      <c r="AB76" s="50"/>
      <c r="AC76" s="48"/>
      <c r="AD76" s="49"/>
      <c r="AE76" s="53"/>
      <c r="AF76" s="48"/>
      <c r="AG76" s="49"/>
      <c r="AH76" s="49"/>
      <c r="AI76" s="48"/>
      <c r="AJ76" s="49"/>
      <c r="AK76" s="55"/>
      <c r="AL76" s="49">
        <f>B76+E76+H76+K76+N76+Q76+T76+W76+Z76+AC76+AF76+AI76</f>
        <v>5289342</v>
      </c>
      <c r="AM76" s="54">
        <f t="shared" si="17"/>
        <v>2289342</v>
      </c>
      <c r="AN76" s="53">
        <f t="shared" si="25"/>
        <v>0.43282170069547404</v>
      </c>
      <c r="AO76" s="45"/>
      <c r="AP76" s="45"/>
    </row>
    <row r="77" spans="1:42" s="46" customFormat="1" x14ac:dyDescent="0.3">
      <c r="A77" s="56" t="s">
        <v>82</v>
      </c>
      <c r="B77" s="48">
        <v>0</v>
      </c>
      <c r="C77" s="49"/>
      <c r="D77" s="50">
        <v>0</v>
      </c>
      <c r="E77" s="48">
        <v>0</v>
      </c>
      <c r="F77" s="49"/>
      <c r="G77" s="50">
        <v>0</v>
      </c>
      <c r="H77" s="48">
        <v>0</v>
      </c>
      <c r="I77" s="49"/>
      <c r="J77" s="50">
        <v>0</v>
      </c>
      <c r="K77" s="48">
        <v>0</v>
      </c>
      <c r="L77" s="49"/>
      <c r="M77" s="50"/>
      <c r="N77" s="48">
        <v>0</v>
      </c>
      <c r="O77" s="49"/>
      <c r="P77" s="53"/>
      <c r="Q77" s="48">
        <v>0</v>
      </c>
      <c r="R77" s="49"/>
      <c r="S77" s="50"/>
      <c r="T77" s="48"/>
      <c r="U77" s="49"/>
      <c r="V77" s="50"/>
      <c r="W77" s="48"/>
      <c r="X77" s="49"/>
      <c r="Y77" s="50"/>
      <c r="Z77" s="48"/>
      <c r="AA77" s="49"/>
      <c r="AB77" s="50"/>
      <c r="AC77" s="48"/>
      <c r="AD77" s="49"/>
      <c r="AE77" s="53"/>
      <c r="AF77" s="48"/>
      <c r="AG77" s="49"/>
      <c r="AH77" s="49"/>
      <c r="AI77" s="48"/>
      <c r="AJ77" s="49"/>
      <c r="AK77" s="55"/>
      <c r="AL77" s="49">
        <f t="shared" si="30"/>
        <v>0</v>
      </c>
      <c r="AM77" s="54">
        <f t="shared" si="17"/>
        <v>0</v>
      </c>
      <c r="AN77" s="53" t="e">
        <f t="shared" si="25"/>
        <v>#DIV/0!</v>
      </c>
      <c r="AO77" s="45"/>
      <c r="AP77" s="45"/>
    </row>
    <row r="78" spans="1:42" s="46" customFormat="1" x14ac:dyDescent="0.3">
      <c r="A78" s="56" t="s">
        <v>83</v>
      </c>
      <c r="B78" s="48">
        <v>0</v>
      </c>
      <c r="C78" s="49"/>
      <c r="D78" s="50">
        <v>0</v>
      </c>
      <c r="E78" s="48">
        <v>0</v>
      </c>
      <c r="F78" s="49"/>
      <c r="G78" s="50">
        <v>0</v>
      </c>
      <c r="H78" s="48">
        <v>743600</v>
      </c>
      <c r="I78" s="49">
        <f>'[1]Relación Egresos'!$D$308</f>
        <v>743600</v>
      </c>
      <c r="J78" s="50">
        <f>I78/H78</f>
        <v>1</v>
      </c>
      <c r="K78" s="48">
        <v>0</v>
      </c>
      <c r="L78" s="49"/>
      <c r="M78" s="50"/>
      <c r="N78" s="48">
        <v>0</v>
      </c>
      <c r="O78" s="49"/>
      <c r="P78" s="53"/>
      <c r="Q78" s="48">
        <v>0</v>
      </c>
      <c r="R78" s="49"/>
      <c r="S78" s="50"/>
      <c r="T78" s="48"/>
      <c r="U78" s="49"/>
      <c r="V78" s="50"/>
      <c r="W78" s="48"/>
      <c r="X78" s="49"/>
      <c r="Y78" s="50"/>
      <c r="Z78" s="48"/>
      <c r="AA78" s="49"/>
      <c r="AB78" s="50"/>
      <c r="AC78" s="48"/>
      <c r="AD78" s="49"/>
      <c r="AE78" s="53"/>
      <c r="AF78" s="48"/>
      <c r="AG78" s="49"/>
      <c r="AH78" s="49"/>
      <c r="AI78" s="48"/>
      <c r="AJ78" s="49"/>
      <c r="AK78" s="55"/>
      <c r="AL78" s="49">
        <f t="shared" si="30"/>
        <v>743600</v>
      </c>
      <c r="AM78" s="54">
        <f t="shared" si="17"/>
        <v>743600</v>
      </c>
      <c r="AN78" s="53">
        <f t="shared" si="25"/>
        <v>1</v>
      </c>
      <c r="AO78" s="45"/>
      <c r="AP78" s="45"/>
    </row>
    <row r="79" spans="1:42" s="46" customFormat="1" x14ac:dyDescent="0.3">
      <c r="A79" s="56" t="s">
        <v>84</v>
      </c>
      <c r="B79" s="48">
        <v>0</v>
      </c>
      <c r="C79" s="49"/>
      <c r="D79" s="50">
        <v>0</v>
      </c>
      <c r="E79" s="48">
        <v>0</v>
      </c>
      <c r="F79" s="49"/>
      <c r="G79" s="50">
        <v>0</v>
      </c>
      <c r="H79" s="48">
        <v>0</v>
      </c>
      <c r="I79" s="49"/>
      <c r="J79" s="50">
        <v>0</v>
      </c>
      <c r="K79" s="48">
        <v>0</v>
      </c>
      <c r="L79" s="49"/>
      <c r="M79" s="50"/>
      <c r="N79" s="48">
        <v>0</v>
      </c>
      <c r="O79" s="49"/>
      <c r="P79" s="53"/>
      <c r="Q79" s="48">
        <v>0</v>
      </c>
      <c r="R79" s="49"/>
      <c r="S79" s="50"/>
      <c r="T79" s="48"/>
      <c r="U79" s="49"/>
      <c r="V79" s="50" t="e">
        <f t="shared" si="29"/>
        <v>#DIV/0!</v>
      </c>
      <c r="W79" s="48"/>
      <c r="X79" s="49"/>
      <c r="Y79" s="50" t="e">
        <f t="shared" si="0"/>
        <v>#DIV/0!</v>
      </c>
      <c r="Z79" s="48"/>
      <c r="AA79" s="49"/>
      <c r="AB79" s="50"/>
      <c r="AC79" s="48"/>
      <c r="AD79" s="49"/>
      <c r="AE79" s="53"/>
      <c r="AF79" s="48"/>
      <c r="AG79" s="49"/>
      <c r="AH79" s="49"/>
      <c r="AI79" s="48"/>
      <c r="AJ79" s="49"/>
      <c r="AK79" s="55"/>
      <c r="AL79" s="49">
        <f t="shared" si="30"/>
        <v>0</v>
      </c>
      <c r="AM79" s="54">
        <f t="shared" si="17"/>
        <v>0</v>
      </c>
      <c r="AN79" s="53" t="e">
        <f t="shared" si="25"/>
        <v>#DIV/0!</v>
      </c>
      <c r="AO79" s="45"/>
      <c r="AP79" s="45"/>
    </row>
    <row r="80" spans="1:42" s="46" customFormat="1" x14ac:dyDescent="0.3">
      <c r="A80" s="56" t="s">
        <v>85</v>
      </c>
      <c r="B80" s="48">
        <v>0</v>
      </c>
      <c r="C80" s="49"/>
      <c r="D80" s="50">
        <v>0</v>
      </c>
      <c r="E80" s="48">
        <v>0</v>
      </c>
      <c r="F80" s="49"/>
      <c r="G80" s="50">
        <v>0</v>
      </c>
      <c r="H80" s="48">
        <v>0</v>
      </c>
      <c r="I80" s="49"/>
      <c r="J80" s="50">
        <v>0</v>
      </c>
      <c r="K80" s="48">
        <v>0</v>
      </c>
      <c r="L80" s="49"/>
      <c r="M80" s="50" t="e">
        <f>L80/K80</f>
        <v>#DIV/0!</v>
      </c>
      <c r="N80" s="48">
        <v>0</v>
      </c>
      <c r="O80" s="49"/>
      <c r="P80" s="53"/>
      <c r="Q80" s="48">
        <v>0</v>
      </c>
      <c r="R80" s="49"/>
      <c r="S80" s="50"/>
      <c r="T80" s="48"/>
      <c r="U80" s="49"/>
      <c r="V80" s="50"/>
      <c r="W80" s="48"/>
      <c r="X80" s="49"/>
      <c r="Y80" s="50"/>
      <c r="Z80" s="48"/>
      <c r="AA80" s="49"/>
      <c r="AB80" s="50"/>
      <c r="AC80" s="48"/>
      <c r="AD80" s="49"/>
      <c r="AE80" s="53"/>
      <c r="AF80" s="48"/>
      <c r="AG80" s="49"/>
      <c r="AH80" s="49"/>
      <c r="AI80" s="48"/>
      <c r="AJ80" s="49"/>
      <c r="AK80" s="55"/>
      <c r="AL80" s="49">
        <f t="shared" si="30"/>
        <v>0</v>
      </c>
      <c r="AM80" s="54">
        <f t="shared" si="17"/>
        <v>0</v>
      </c>
      <c r="AN80" s="53" t="e">
        <f t="shared" si="25"/>
        <v>#DIV/0!</v>
      </c>
      <c r="AO80" s="45"/>
      <c r="AP80" s="45"/>
    </row>
    <row r="81" spans="1:42" s="46" customFormat="1" x14ac:dyDescent="0.3">
      <c r="A81" s="96" t="s">
        <v>86</v>
      </c>
      <c r="B81" s="97">
        <f>SUM(B66:B80)</f>
        <v>11792723</v>
      </c>
      <c r="C81" s="110">
        <f>SUM(C66:C80)</f>
        <v>11904984</v>
      </c>
      <c r="D81" s="99">
        <f>C81/B81</f>
        <v>1.0095195147041103</v>
      </c>
      <c r="E81" s="97">
        <f>SUM(E66:E80)</f>
        <v>15477065</v>
      </c>
      <c r="F81" s="110">
        <f>SUM(F66:F80)</f>
        <v>15658371</v>
      </c>
      <c r="G81" s="108">
        <f>F81/E81</f>
        <v>1.011714494964</v>
      </c>
      <c r="H81" s="97">
        <f>SUM(H66:H80)</f>
        <v>10774692</v>
      </c>
      <c r="I81" s="110">
        <f>SUM(I66:I80)</f>
        <v>6575194</v>
      </c>
      <c r="J81" s="98">
        <f>I81/H81</f>
        <v>0.61024426498687856</v>
      </c>
      <c r="K81" s="97">
        <f>SUM(K66:K80)</f>
        <v>5696537</v>
      </c>
      <c r="L81" s="110">
        <f>SUM(L66:L80)</f>
        <v>0</v>
      </c>
      <c r="M81" s="98">
        <f>L81/K81</f>
        <v>0</v>
      </c>
      <c r="N81" s="97">
        <f>SUM(N66:N80)</f>
        <v>5696537</v>
      </c>
      <c r="O81" s="110">
        <f>SUM(O66:O80)</f>
        <v>0</v>
      </c>
      <c r="P81" s="101"/>
      <c r="Q81" s="97">
        <f>SUM(Q66:Q80)</f>
        <v>9439491.5</v>
      </c>
      <c r="R81" s="110">
        <f>SUM(R66:R80)</f>
        <v>0</v>
      </c>
      <c r="S81" s="98">
        <f>R81/Q81</f>
        <v>0</v>
      </c>
      <c r="T81" s="97">
        <f>SUM(T66:T80)</f>
        <v>9605520</v>
      </c>
      <c r="U81" s="110">
        <f>SUM(U66:U80)</f>
        <v>0</v>
      </c>
      <c r="V81" s="99">
        <f t="shared" si="29"/>
        <v>0</v>
      </c>
      <c r="W81" s="97">
        <f>SUM(W66:W80)</f>
        <v>9605520</v>
      </c>
      <c r="X81" s="110">
        <f>SUM(X66:X80)</f>
        <v>0</v>
      </c>
      <c r="Y81" s="98">
        <f t="shared" si="0"/>
        <v>0</v>
      </c>
      <c r="Z81" s="97">
        <f>SUM(Z66:Z80)</f>
        <v>9605520</v>
      </c>
      <c r="AA81" s="110">
        <f>SUM(AA66:AA80)</f>
        <v>0</v>
      </c>
      <c r="AB81" s="101">
        <f t="shared" si="23"/>
        <v>0</v>
      </c>
      <c r="AC81" s="97">
        <f>SUM(AC66:AC80)</f>
        <v>9605520</v>
      </c>
      <c r="AD81" s="110">
        <f>SUM(AD66:AD80)</f>
        <v>0</v>
      </c>
      <c r="AE81" s="101"/>
      <c r="AF81" s="97">
        <f>SUM(AF66:AF80)</f>
        <v>9605520</v>
      </c>
      <c r="AG81" s="110">
        <f>SUM(AG66:AG80)</f>
        <v>0</v>
      </c>
      <c r="AH81" s="102"/>
      <c r="AI81" s="97">
        <f>SUM(AI66:AI80)</f>
        <v>9605520</v>
      </c>
      <c r="AJ81" s="110">
        <f>SUM(AJ66:AJ80)</f>
        <v>0</v>
      </c>
      <c r="AK81" s="109"/>
      <c r="AL81" s="97">
        <f>SUM(AL66:AL80)</f>
        <v>116510165.5</v>
      </c>
      <c r="AM81" s="100">
        <f t="shared" si="17"/>
        <v>34138549</v>
      </c>
      <c r="AN81" s="103">
        <f t="shared" si="25"/>
        <v>0.29300918811243126</v>
      </c>
      <c r="AO81" s="45"/>
      <c r="AP81" s="45"/>
    </row>
    <row r="82" spans="1:42" s="46" customFormat="1" x14ac:dyDescent="0.3">
      <c r="A82" s="107" t="s">
        <v>87</v>
      </c>
      <c r="B82" s="94"/>
      <c r="C82" s="51"/>
      <c r="D82" s="49"/>
      <c r="E82" s="94"/>
      <c r="F82" s="51"/>
      <c r="G82" s="51"/>
      <c r="H82" s="94"/>
      <c r="I82" s="51"/>
      <c r="J82" s="49"/>
      <c r="K82" s="94"/>
      <c r="L82" s="51"/>
      <c r="M82" s="49"/>
      <c r="N82" s="94"/>
      <c r="O82" s="51"/>
      <c r="P82" s="49"/>
      <c r="Q82" s="94"/>
      <c r="R82" s="51"/>
      <c r="S82" s="50"/>
      <c r="T82" s="94"/>
      <c r="U82" s="51"/>
      <c r="V82" s="49"/>
      <c r="W82" s="94"/>
      <c r="X82" s="51"/>
      <c r="Y82" s="49"/>
      <c r="Z82" s="94"/>
      <c r="AA82" s="51"/>
      <c r="AB82" s="50"/>
      <c r="AC82" s="94"/>
      <c r="AD82" s="51"/>
      <c r="AE82" s="53"/>
      <c r="AF82" s="94"/>
      <c r="AG82" s="51"/>
      <c r="AH82" s="49"/>
      <c r="AI82" s="94"/>
      <c r="AJ82" s="51"/>
      <c r="AK82" s="55"/>
      <c r="AL82" s="49"/>
      <c r="AM82" s="54"/>
      <c r="AN82" s="54"/>
      <c r="AO82" s="45"/>
      <c r="AP82" s="45"/>
    </row>
    <row r="83" spans="1:42" s="46" customFormat="1" x14ac:dyDescent="0.3">
      <c r="A83" s="56" t="s">
        <v>88</v>
      </c>
      <c r="B83" s="48"/>
      <c r="C83" s="51"/>
      <c r="D83" s="50">
        <v>0</v>
      </c>
      <c r="E83" s="48"/>
      <c r="F83" s="51"/>
      <c r="G83" s="52">
        <v>0</v>
      </c>
      <c r="H83" s="48"/>
      <c r="I83" s="51"/>
      <c r="J83" s="49"/>
      <c r="K83" s="48"/>
      <c r="L83" s="51"/>
      <c r="M83" s="49"/>
      <c r="N83" s="48"/>
      <c r="O83" s="51"/>
      <c r="P83" s="50">
        <v>1</v>
      </c>
      <c r="Q83" s="48"/>
      <c r="R83" s="51"/>
      <c r="S83" s="50">
        <v>1</v>
      </c>
      <c r="T83" s="48"/>
      <c r="U83" s="51"/>
      <c r="V83" s="49"/>
      <c r="W83" s="48"/>
      <c r="X83" s="51"/>
      <c r="Y83" s="49"/>
      <c r="Z83" s="48"/>
      <c r="AA83" s="51"/>
      <c r="AB83" s="50"/>
      <c r="AC83" s="48"/>
      <c r="AD83" s="51"/>
      <c r="AE83" s="53"/>
      <c r="AF83" s="48"/>
      <c r="AG83" s="51"/>
      <c r="AH83" s="49"/>
      <c r="AI83" s="48"/>
      <c r="AJ83" s="51"/>
      <c r="AK83" s="55"/>
      <c r="AL83" s="49">
        <f>B83+E83+H83+K83+N83+Q83+T83+W83+Z83+AC83+AF83+AI83</f>
        <v>0</v>
      </c>
      <c r="AM83" s="54">
        <f t="shared" si="17"/>
        <v>0</v>
      </c>
      <c r="AN83" s="53" t="e">
        <f t="shared" si="25"/>
        <v>#DIV/0!</v>
      </c>
      <c r="AO83" s="45"/>
      <c r="AP83" s="45"/>
    </row>
    <row r="84" spans="1:42" s="46" customFormat="1" x14ac:dyDescent="0.3">
      <c r="A84" s="56" t="s">
        <v>150</v>
      </c>
      <c r="B84" s="48"/>
      <c r="C84" s="51"/>
      <c r="D84" s="50"/>
      <c r="E84" s="48"/>
      <c r="F84" s="51"/>
      <c r="G84" s="52"/>
      <c r="H84" s="48"/>
      <c r="I84" s="51"/>
      <c r="J84" s="49"/>
      <c r="K84" s="48"/>
      <c r="L84" s="51"/>
      <c r="M84" s="49"/>
      <c r="N84" s="48"/>
      <c r="O84" s="51"/>
      <c r="P84" s="50"/>
      <c r="Q84" s="48"/>
      <c r="R84" s="51"/>
      <c r="S84" s="50"/>
      <c r="T84" s="48"/>
      <c r="U84" s="51"/>
      <c r="V84" s="49"/>
      <c r="W84" s="48"/>
      <c r="X84" s="51"/>
      <c r="Y84" s="49"/>
      <c r="Z84" s="48"/>
      <c r="AA84" s="51"/>
      <c r="AB84" s="50"/>
      <c r="AC84" s="48"/>
      <c r="AD84" s="51"/>
      <c r="AE84" s="53"/>
      <c r="AF84" s="48"/>
      <c r="AG84" s="51"/>
      <c r="AH84" s="49"/>
      <c r="AI84" s="48"/>
      <c r="AJ84" s="51"/>
      <c r="AK84" s="55"/>
      <c r="AL84" s="49"/>
      <c r="AM84" s="54"/>
      <c r="AN84" s="53"/>
      <c r="AO84" s="45"/>
      <c r="AP84" s="45"/>
    </row>
    <row r="85" spans="1:42" s="46" customFormat="1" x14ac:dyDescent="0.3">
      <c r="A85" s="56" t="s">
        <v>89</v>
      </c>
      <c r="B85" s="48"/>
      <c r="C85" s="51">
        <f>'[1]Relación Egresos'!$D$84</f>
        <v>1190000</v>
      </c>
      <c r="D85" s="50">
        <v>0</v>
      </c>
      <c r="E85" s="48">
        <f>700000+400000</f>
        <v>1100000</v>
      </c>
      <c r="F85" s="51">
        <f>'[1]Relación Egresos'!$D$170+'[1]Relación Egresos'!$E$197+'[1]Relación Egresos'!$E$198+'[1]Relación Egresos'!$E$199+'[1]Relación Egresos'!$E$200+'[1]Relación Egresos'!$E$201+'[1]Relación Egresos'!$E$202+'[1]Relación Egresos'!$E$203</f>
        <v>1135569</v>
      </c>
      <c r="G85" s="52">
        <f>F85/E85</f>
        <v>1.0323354545454546</v>
      </c>
      <c r="H85" s="48"/>
      <c r="I85" s="51"/>
      <c r="J85" s="50"/>
      <c r="K85" s="48"/>
      <c r="L85" s="51"/>
      <c r="M85" s="50" t="e">
        <f>L85/K85</f>
        <v>#DIV/0!</v>
      </c>
      <c r="N85" s="48"/>
      <c r="O85" s="51"/>
      <c r="P85" s="50" t="e">
        <f>O85/N85</f>
        <v>#DIV/0!</v>
      </c>
      <c r="Q85" s="48"/>
      <c r="R85" s="51"/>
      <c r="S85" s="50" t="e">
        <f>R85/Q85</f>
        <v>#DIV/0!</v>
      </c>
      <c r="T85" s="48">
        <v>300000</v>
      </c>
      <c r="U85" s="51"/>
      <c r="V85" s="50">
        <v>0</v>
      </c>
      <c r="W85" s="48">
        <v>300000</v>
      </c>
      <c r="X85" s="51"/>
      <c r="Y85" s="50">
        <f t="shared" ref="Y85:Y91" si="31">X85/W85</f>
        <v>0</v>
      </c>
      <c r="Z85" s="48">
        <v>300000</v>
      </c>
      <c r="AA85" s="51"/>
      <c r="AB85" s="50">
        <f t="shared" si="23"/>
        <v>0</v>
      </c>
      <c r="AC85" s="48">
        <v>300000</v>
      </c>
      <c r="AD85" s="51"/>
      <c r="AE85" s="53"/>
      <c r="AF85" s="48">
        <v>300000</v>
      </c>
      <c r="AG85" s="51"/>
      <c r="AH85" s="49"/>
      <c r="AI85" s="48">
        <v>300000</v>
      </c>
      <c r="AJ85" s="51"/>
      <c r="AK85" s="55"/>
      <c r="AL85" s="49">
        <f>B85+E85+H85+K85+N85+Q85+T85+W85+Z85+AC85+AF85+AI85</f>
        <v>2900000</v>
      </c>
      <c r="AM85" s="54">
        <f t="shared" si="17"/>
        <v>2325569</v>
      </c>
      <c r="AN85" s="53">
        <f t="shared" si="25"/>
        <v>0.80192034482758623</v>
      </c>
      <c r="AO85" s="95"/>
      <c r="AP85" s="45"/>
    </row>
    <row r="86" spans="1:42" s="46" customFormat="1" x14ac:dyDescent="0.3">
      <c r="A86" s="56" t="s">
        <v>90</v>
      </c>
      <c r="B86" s="48">
        <v>140000</v>
      </c>
      <c r="C86" s="51"/>
      <c r="D86" s="50">
        <f>C86/B86</f>
        <v>0</v>
      </c>
      <c r="E86" s="48">
        <v>280000</v>
      </c>
      <c r="F86" s="51">
        <f>'[1]Relación Egresos'!$E$205</f>
        <v>280000</v>
      </c>
      <c r="G86" s="52">
        <f>F86/E86</f>
        <v>1</v>
      </c>
      <c r="H86" s="48">
        <v>140000</v>
      </c>
      <c r="I86" s="51"/>
      <c r="J86" s="50">
        <f>I86/H86</f>
        <v>0</v>
      </c>
      <c r="K86" s="48">
        <v>140000</v>
      </c>
      <c r="L86" s="51"/>
      <c r="M86" s="50">
        <f>L86/K86</f>
        <v>0</v>
      </c>
      <c r="N86" s="48">
        <v>140000</v>
      </c>
      <c r="O86" s="51"/>
      <c r="P86" s="50">
        <v>1</v>
      </c>
      <c r="Q86" s="48">
        <v>140000</v>
      </c>
      <c r="R86" s="51"/>
      <c r="S86" s="50">
        <v>1</v>
      </c>
      <c r="T86" s="48">
        <v>140000</v>
      </c>
      <c r="U86" s="51"/>
      <c r="V86" s="50">
        <f>U86/T86</f>
        <v>0</v>
      </c>
      <c r="W86" s="48">
        <v>140000</v>
      </c>
      <c r="X86" s="51"/>
      <c r="Y86" s="50">
        <f t="shared" si="31"/>
        <v>0</v>
      </c>
      <c r="Z86" s="48">
        <v>140000</v>
      </c>
      <c r="AA86" s="51"/>
      <c r="AB86" s="50">
        <f t="shared" si="23"/>
        <v>0</v>
      </c>
      <c r="AC86" s="48">
        <v>140000</v>
      </c>
      <c r="AD86" s="51"/>
      <c r="AE86" s="53"/>
      <c r="AF86" s="48">
        <v>140000</v>
      </c>
      <c r="AG86" s="51"/>
      <c r="AH86" s="49"/>
      <c r="AI86" s="48">
        <v>140000</v>
      </c>
      <c r="AJ86" s="51"/>
      <c r="AK86" s="55"/>
      <c r="AL86" s="49">
        <f>B86+E86+H86+K86+N86+Q86+T86+W86+Z86+AC86+AF86+AI86</f>
        <v>1820000</v>
      </c>
      <c r="AM86" s="54">
        <f t="shared" si="17"/>
        <v>280000</v>
      </c>
      <c r="AN86" s="53">
        <f t="shared" si="25"/>
        <v>0.15384615384615385</v>
      </c>
      <c r="AO86" s="45"/>
      <c r="AP86" s="45"/>
    </row>
    <row r="87" spans="1:42" s="46" customFormat="1" x14ac:dyDescent="0.3">
      <c r="A87" s="56" t="s">
        <v>91</v>
      </c>
      <c r="B87" s="48">
        <v>16000000</v>
      </c>
      <c r="C87" s="51">
        <f>'[1]Relación Egresos'!$D$26+'[1]Relación Egresos'!$E$17</f>
        <v>16978000</v>
      </c>
      <c r="D87" s="50">
        <f>C87/B87</f>
        <v>1.0611250000000001</v>
      </c>
      <c r="E87" s="48">
        <v>18000000</v>
      </c>
      <c r="F87" s="51">
        <f>'[1]Relación Egresos'!$D$122</f>
        <v>18191000</v>
      </c>
      <c r="G87" s="52">
        <f>F87/E87</f>
        <v>1.0106111111111111</v>
      </c>
      <c r="H87" s="48">
        <v>30000000</v>
      </c>
      <c r="I87" s="51">
        <f>'[1]Relación Egresos'!$D$243</f>
        <v>30322000</v>
      </c>
      <c r="J87" s="50">
        <f>I87/H87</f>
        <v>1.0107333333333333</v>
      </c>
      <c r="K87" s="48">
        <v>16000000</v>
      </c>
      <c r="L87" s="51"/>
      <c r="M87" s="50">
        <f>L87/K87</f>
        <v>0</v>
      </c>
      <c r="N87" s="48">
        <v>16000000</v>
      </c>
      <c r="O87" s="51"/>
      <c r="P87" s="50">
        <f>O87/N87</f>
        <v>0</v>
      </c>
      <c r="Q87" s="48">
        <v>16000000</v>
      </c>
      <c r="R87" s="51"/>
      <c r="S87" s="50">
        <f>R87/Q87</f>
        <v>0</v>
      </c>
      <c r="T87" s="48">
        <v>16000000</v>
      </c>
      <c r="U87" s="51"/>
      <c r="V87" s="50">
        <f>U87/T87</f>
        <v>0</v>
      </c>
      <c r="W87" s="48">
        <v>16000000</v>
      </c>
      <c r="X87" s="51"/>
      <c r="Y87" s="50">
        <f t="shared" si="31"/>
        <v>0</v>
      </c>
      <c r="Z87" s="48">
        <v>16000000</v>
      </c>
      <c r="AA87" s="51"/>
      <c r="AB87" s="53">
        <f t="shared" si="23"/>
        <v>0</v>
      </c>
      <c r="AC87" s="48">
        <v>16000000</v>
      </c>
      <c r="AD87" s="51"/>
      <c r="AE87" s="53"/>
      <c r="AF87" s="48">
        <v>16000000</v>
      </c>
      <c r="AG87" s="51"/>
      <c r="AH87" s="49"/>
      <c r="AI87" s="48">
        <v>16000000</v>
      </c>
      <c r="AJ87" s="51"/>
      <c r="AK87" s="55"/>
      <c r="AL87" s="49">
        <f>B87+E87+H87+K87+N87+Q87+T87+W87+Z87+AC87+AF87+AI87</f>
        <v>208000000</v>
      </c>
      <c r="AM87" s="54">
        <f t="shared" si="17"/>
        <v>65491000</v>
      </c>
      <c r="AN87" s="53">
        <f t="shared" si="25"/>
        <v>0.3148605769230769</v>
      </c>
      <c r="AO87" s="45"/>
      <c r="AP87" s="45"/>
    </row>
    <row r="88" spans="1:42" s="46" customFormat="1" x14ac:dyDescent="0.3">
      <c r="A88" s="56" t="s">
        <v>153</v>
      </c>
      <c r="B88" s="48"/>
      <c r="C88" s="51"/>
      <c r="D88" s="50"/>
      <c r="E88" s="48"/>
      <c r="F88" s="51"/>
      <c r="G88" s="52"/>
      <c r="H88" s="48"/>
      <c r="I88" s="51"/>
      <c r="J88" s="50"/>
      <c r="K88" s="48"/>
      <c r="L88" s="51"/>
      <c r="M88" s="50"/>
      <c r="N88" s="48"/>
      <c r="O88" s="51"/>
      <c r="P88" s="50"/>
      <c r="Q88" s="48"/>
      <c r="R88" s="51"/>
      <c r="S88" s="50"/>
      <c r="T88" s="48"/>
      <c r="U88" s="51"/>
      <c r="V88" s="50"/>
      <c r="W88" s="48"/>
      <c r="X88" s="51"/>
      <c r="Y88" s="50"/>
      <c r="Z88" s="48"/>
      <c r="AA88" s="51"/>
      <c r="AB88" s="53"/>
      <c r="AC88" s="48"/>
      <c r="AD88" s="51"/>
      <c r="AE88" s="53"/>
      <c r="AF88" s="48"/>
      <c r="AG88" s="51"/>
      <c r="AH88" s="49"/>
      <c r="AI88" s="48"/>
      <c r="AJ88" s="51"/>
      <c r="AK88" s="55"/>
      <c r="AL88" s="49"/>
      <c r="AM88" s="54"/>
      <c r="AN88" s="53"/>
      <c r="AO88" s="45"/>
      <c r="AP88" s="45"/>
    </row>
    <row r="89" spans="1:42" s="46" customFormat="1" x14ac:dyDescent="0.3">
      <c r="A89" s="56" t="s">
        <v>92</v>
      </c>
      <c r="B89" s="48">
        <f>2700000</f>
        <v>2700000</v>
      </c>
      <c r="C89" s="51">
        <f>'[1]Relación Egresos'!$D$7+'[1]Relación Egresos'!$D$8+'[1]Relación Egresos'!$E$10+'[1]Relación Egresos'!$E$11+'[1]Relación Egresos'!$E$14+'[1]Relación Egresos'!$E$15+'[1]Relación Egresos'!$E$16+'[1]Relación Egresos'!$E$18+'[1]Relación Egresos'!$E$20+'[1]Relación Egresos'!$D$87+'[1]Relación Egresos'!$D$99+'[1]Relación Egresos'!$D$104+'[1]Relación Egresos'!$E$105+'[1]Relación Egresos'!$E$106+'[1]Relación Egresos'!$E$107+'[1]Relación Egresos'!$E$108+'[1]Relación Egresos'!$E$109</f>
        <v>3340728</v>
      </c>
      <c r="D89" s="50">
        <f>C89/B89</f>
        <v>1.2373066666666668</v>
      </c>
      <c r="E89" s="48">
        <v>8600000</v>
      </c>
      <c r="F89" s="51">
        <f>'[1]Relación Egresos'!$E$113+'[1]Relación Egresos'!$D$126+'[1]Relación Egresos'!$D$171+'[1]Relación Egresos'!$D$191+'[1]Relación Egresos'!$E$206+'[1]Relación Egresos'!$E$207+'[1]Relación Egresos'!$E$208+'[1]Relación Egresos'!$E$211+'[1]Relación Egresos'!$E$212+'[1]Relación Egresos'!$E$213+'[1]Relación Egresos'!$D$224+'[1]Relación Egresos'!$E$225+'[1]Relación Egresos'!$E$226+'[1]Relación Egresos'!$D$228+'[1]Relación Egresos'!$D$123</f>
        <v>7477013</v>
      </c>
      <c r="G89" s="52">
        <f>F89/E89</f>
        <v>0.86942011627906979</v>
      </c>
      <c r="H89" s="48">
        <f>2700000+1650000</f>
        <v>4350000</v>
      </c>
      <c r="I89" s="51">
        <f>'[1]Relación Egresos'!$D$322+'[1]Relación Egresos'!$D$246+'[1]Relación Egresos'!$D$233+'[1]Relación Egresos'!$D$232</f>
        <v>2731010</v>
      </c>
      <c r="J89" s="50">
        <f>I89/H89</f>
        <v>0.62781839080459767</v>
      </c>
      <c r="K89" s="48">
        <f>2700000</f>
        <v>2700000</v>
      </c>
      <c r="L89" s="51">
        <f>'[1]Relación Egresos'!$D$347</f>
        <v>40667</v>
      </c>
      <c r="M89" s="50">
        <f>L89/K89</f>
        <v>1.5061851851851852E-2</v>
      </c>
      <c r="N89" s="48">
        <f>2700000</f>
        <v>2700000</v>
      </c>
      <c r="O89" s="51"/>
      <c r="P89" s="50">
        <f>O89/N89</f>
        <v>0</v>
      </c>
      <c r="Q89" s="48">
        <f>2700000</f>
        <v>2700000</v>
      </c>
      <c r="R89" s="51"/>
      <c r="S89" s="50">
        <f>R89/Q89</f>
        <v>0</v>
      </c>
      <c r="T89" s="48">
        <f>2700000</f>
        <v>2700000</v>
      </c>
      <c r="U89" s="51"/>
      <c r="V89" s="50">
        <f>U89/T89</f>
        <v>0</v>
      </c>
      <c r="W89" s="48">
        <f>2700000</f>
        <v>2700000</v>
      </c>
      <c r="X89" s="51"/>
      <c r="Y89" s="50">
        <f t="shared" si="31"/>
        <v>0</v>
      </c>
      <c r="Z89" s="48">
        <f>2700000</f>
        <v>2700000</v>
      </c>
      <c r="AA89" s="51"/>
      <c r="AB89" s="53">
        <f t="shared" si="23"/>
        <v>0</v>
      </c>
      <c r="AC89" s="48">
        <f>2700000</f>
        <v>2700000</v>
      </c>
      <c r="AD89" s="51"/>
      <c r="AE89" s="53"/>
      <c r="AF89" s="48">
        <f>2700000</f>
        <v>2700000</v>
      </c>
      <c r="AG89" s="51"/>
      <c r="AH89" s="49"/>
      <c r="AI89" s="48">
        <f>2700000</f>
        <v>2700000</v>
      </c>
      <c r="AJ89" s="51"/>
      <c r="AK89" s="55"/>
      <c r="AL89" s="49">
        <f>B89+E89+H89+K89+N89+Q89+T89+W89+Z89+AC89+AF89+AI89</f>
        <v>39950000</v>
      </c>
      <c r="AM89" s="54">
        <f>C89+F89+I89+L89+O89+R89+U89+X89+AA89+AD89+AG89+AJ89</f>
        <v>13589418</v>
      </c>
      <c r="AN89" s="53">
        <f t="shared" si="25"/>
        <v>0.34016065081351687</v>
      </c>
      <c r="AO89" s="45"/>
      <c r="AP89" s="45"/>
    </row>
    <row r="90" spans="1:42" s="46" customFormat="1" x14ac:dyDescent="0.3">
      <c r="A90" s="96" t="s">
        <v>93</v>
      </c>
      <c r="B90" s="97">
        <f>SUM(B83:B89)</f>
        <v>18840000</v>
      </c>
      <c r="C90" s="97">
        <f>SUM(C83:C89)</f>
        <v>21508728</v>
      </c>
      <c r="D90" s="99">
        <f>C90/B90</f>
        <v>1.1416522292993632</v>
      </c>
      <c r="E90" s="97">
        <f>SUM(E83:E89)</f>
        <v>27980000</v>
      </c>
      <c r="F90" s="97">
        <f>SUM(F83:F89)</f>
        <v>27083582</v>
      </c>
      <c r="G90" s="108">
        <f>F90/E90</f>
        <v>0.9679621872766262</v>
      </c>
      <c r="H90" s="97">
        <f>SUM(H83:H89)</f>
        <v>34490000</v>
      </c>
      <c r="I90" s="97">
        <f>SUM(I83:I89)</f>
        <v>33053010</v>
      </c>
      <c r="J90" s="98">
        <f>I90/H90</f>
        <v>0.9583360394317193</v>
      </c>
      <c r="K90" s="97">
        <f>SUM(K83:K89)</f>
        <v>18840000</v>
      </c>
      <c r="L90" s="97">
        <f>SUM(L83:L89)</f>
        <v>40667</v>
      </c>
      <c r="M90" s="99">
        <f>L90/K90</f>
        <v>2.1585456475583862E-3</v>
      </c>
      <c r="N90" s="97">
        <f>SUM(N83:N89)</f>
        <v>18840000</v>
      </c>
      <c r="O90" s="97">
        <f>SUM(O83:O89)</f>
        <v>0</v>
      </c>
      <c r="P90" s="99">
        <f>O90/N90</f>
        <v>0</v>
      </c>
      <c r="Q90" s="97">
        <f>SUM(Q83:Q89)</f>
        <v>18840000</v>
      </c>
      <c r="R90" s="97">
        <f>SUM(R83:R89)</f>
        <v>0</v>
      </c>
      <c r="S90" s="99">
        <f>R90/Q90</f>
        <v>0</v>
      </c>
      <c r="T90" s="97">
        <f>SUM(T83:T89)</f>
        <v>19140000</v>
      </c>
      <c r="U90" s="97">
        <f>SUM(U83:U89)</f>
        <v>0</v>
      </c>
      <c r="V90" s="99">
        <f>U90/T90</f>
        <v>0</v>
      </c>
      <c r="W90" s="97">
        <f>SUM(W83:W89)</f>
        <v>19140000</v>
      </c>
      <c r="X90" s="97">
        <f>SUM(X83:X89)</f>
        <v>0</v>
      </c>
      <c r="Y90" s="99">
        <f t="shared" si="31"/>
        <v>0</v>
      </c>
      <c r="Z90" s="97">
        <f>SUM(Z83:Z89)</f>
        <v>19140000</v>
      </c>
      <c r="AA90" s="97">
        <f>SUM(AA83:AA89)</f>
        <v>0</v>
      </c>
      <c r="AB90" s="111">
        <f t="shared" si="23"/>
        <v>0</v>
      </c>
      <c r="AC90" s="97">
        <f>SUM(AC83:AC89)</f>
        <v>19140000</v>
      </c>
      <c r="AD90" s="97">
        <f>SUM(AD83:AD89)</f>
        <v>0</v>
      </c>
      <c r="AE90" s="53">
        <f>AD90/AC90</f>
        <v>0</v>
      </c>
      <c r="AF90" s="97">
        <f>SUM(AF83:AF89)</f>
        <v>19140000</v>
      </c>
      <c r="AG90" s="97">
        <f>SUM(AG83:AG89)</f>
        <v>0</v>
      </c>
      <c r="AH90" s="102"/>
      <c r="AI90" s="97">
        <f>SUM(AI83:AI89)</f>
        <v>19140000</v>
      </c>
      <c r="AJ90" s="97">
        <f>SUM(AJ83:AJ89)</f>
        <v>0</v>
      </c>
      <c r="AK90" s="109"/>
      <c r="AL90" s="97">
        <f>SUM(AL83:AL89)</f>
        <v>252670000</v>
      </c>
      <c r="AM90" s="100">
        <f>C90+F90+I90+L90+O90+R90+U90+X90+AA90+AD90+AG90+AJ90</f>
        <v>81685987</v>
      </c>
      <c r="AN90" s="103">
        <f t="shared" si="25"/>
        <v>0.32329119800530337</v>
      </c>
      <c r="AO90" s="45"/>
      <c r="AP90" s="45"/>
    </row>
    <row r="91" spans="1:42" ht="26.25" customHeight="1" x14ac:dyDescent="0.3">
      <c r="A91" s="112" t="s">
        <v>94</v>
      </c>
      <c r="B91" s="113">
        <f>B90+B81+B64+B58+B41+B40+B39</f>
        <v>285017281</v>
      </c>
      <c r="C91" s="113">
        <f>C90+C81+C64+C58+C41+C40+C39</f>
        <v>281939511</v>
      </c>
      <c r="D91" s="114">
        <f>C91/B91</f>
        <v>0.98920146178785562</v>
      </c>
      <c r="E91" s="113">
        <f>E90+E81+E64+E58+E41+E40+E39</f>
        <v>326662632</v>
      </c>
      <c r="F91" s="113">
        <f>F90+F81+F64+F58+F41+F40+F39</f>
        <v>304622804</v>
      </c>
      <c r="G91" s="115">
        <f>F91/E91</f>
        <v>0.93253030545593596</v>
      </c>
      <c r="H91" s="113">
        <f>H90+H81+H64+H58+H41+H40+H39</f>
        <v>289437208</v>
      </c>
      <c r="I91" s="113">
        <f>I90+I81+I64+I58+I41+I40+I39</f>
        <v>269871435.33333337</v>
      </c>
      <c r="J91" s="114">
        <f>I91/H91</f>
        <v>0.9324006308592272</v>
      </c>
      <c r="K91" s="113">
        <f>K90+K81+K64+K58+K41+K40+K39</f>
        <v>202369538</v>
      </c>
      <c r="L91" s="113">
        <f>L90+L81+L64+L58+L41+L40+L39</f>
        <v>12917754</v>
      </c>
      <c r="M91" s="114">
        <f>L91/K91</f>
        <v>6.3832502300815649E-2</v>
      </c>
      <c r="N91" s="113">
        <f>N90+N81+N64+N58+N41+N40+N39</f>
        <v>200660033</v>
      </c>
      <c r="O91" s="113">
        <f>O90+O81+O64+O58+O41+O40+O39</f>
        <v>0</v>
      </c>
      <c r="P91" s="114">
        <f>O91/N91</f>
        <v>0</v>
      </c>
      <c r="Q91" s="113">
        <f>Q90+Q81+Q64+Q58+Q41+Q40+Q39</f>
        <v>217226849.5</v>
      </c>
      <c r="R91" s="113">
        <f>R90+R81+R64+R58+R41+R40+R39</f>
        <v>0</v>
      </c>
      <c r="S91" s="114">
        <f>R91/Q91</f>
        <v>0</v>
      </c>
      <c r="T91" s="113">
        <f>T90+T81+T64+T58+T41+T40+T39</f>
        <v>210192878</v>
      </c>
      <c r="U91" s="113">
        <f>U90+U81+U64+U58+U41+U40+U39</f>
        <v>0</v>
      </c>
      <c r="V91" s="114">
        <f>U91/T91</f>
        <v>0</v>
      </c>
      <c r="W91" s="113">
        <f>W90+W81+W64+W58+W41+W40+W39</f>
        <v>210192878</v>
      </c>
      <c r="X91" s="113">
        <f>X90+X81+X64+X58+X41+X40+X39</f>
        <v>0</v>
      </c>
      <c r="Y91" s="114">
        <f t="shared" si="31"/>
        <v>0</v>
      </c>
      <c r="Z91" s="113">
        <f>Z90+Z81+Z64+Z58+Z41+Z40+Z39</f>
        <v>210192878</v>
      </c>
      <c r="AA91" s="113">
        <f>AA90+AA81+AA64+AA58+AA41+AA40+AA39</f>
        <v>0</v>
      </c>
      <c r="AB91" s="114">
        <f t="shared" si="23"/>
        <v>0</v>
      </c>
      <c r="AC91" s="113">
        <f>AC90+AC81+AC64+AC58+AC41+AC40+AC39</f>
        <v>210192878</v>
      </c>
      <c r="AD91" s="113">
        <f>AD90+AD81+AD64+AD58+AD41+AD40+AD39</f>
        <v>0</v>
      </c>
      <c r="AE91" s="117">
        <f>AD91/AC91</f>
        <v>0</v>
      </c>
      <c r="AF91" s="113">
        <f>AF90+AF81+AF64+AF58+AF41+AF40+AF39</f>
        <v>210192878</v>
      </c>
      <c r="AG91" s="113">
        <f>AG90+AG81+AG64+AG58+AG41+AG40+AG39</f>
        <v>0</v>
      </c>
      <c r="AH91" s="113"/>
      <c r="AI91" s="113">
        <f>AI90+AI81+AI64+AI58+AI41+AI40+AI39</f>
        <v>217192878</v>
      </c>
      <c r="AJ91" s="113">
        <f>AJ90+AJ81+AJ64+AJ58+AJ41+AJ40+AJ39</f>
        <v>0</v>
      </c>
      <c r="AK91" s="118"/>
      <c r="AL91" s="113">
        <f>B91+E91+H91+K91+N91+Q91+T91+W91+Z91+AC91+AF91+AI91</f>
        <v>2789530809.5</v>
      </c>
      <c r="AM91" s="116">
        <f>C91+F91+I91+L91+O91+R91+U91+X91+AA91+AD91+AG91+AJ91</f>
        <v>869351504.33333337</v>
      </c>
      <c r="AN91" s="117">
        <f t="shared" si="25"/>
        <v>0.31164793067446256</v>
      </c>
    </row>
    <row r="92" spans="1:42" ht="13.5" customHeight="1" x14ac:dyDescent="0.3">
      <c r="A92" s="119"/>
      <c r="B92" s="121"/>
      <c r="C92" s="121"/>
      <c r="D92" s="120"/>
      <c r="E92" s="121"/>
      <c r="F92" s="121"/>
      <c r="G92" s="121"/>
      <c r="H92" s="121"/>
      <c r="I92" s="121"/>
      <c r="J92" s="120"/>
      <c r="K92" s="121"/>
      <c r="L92" s="121"/>
      <c r="M92" s="120"/>
      <c r="N92" s="121"/>
      <c r="O92" s="121"/>
      <c r="P92" s="120"/>
      <c r="Q92" s="121"/>
      <c r="R92" s="121"/>
      <c r="S92" s="120"/>
      <c r="T92" s="121"/>
      <c r="U92" s="121"/>
      <c r="V92" s="120"/>
      <c r="W92" s="121"/>
      <c r="X92" s="121"/>
      <c r="Y92" s="120"/>
      <c r="Z92" s="121"/>
      <c r="AA92" s="121"/>
      <c r="AB92" s="53"/>
      <c r="AC92" s="121"/>
      <c r="AD92" s="121"/>
      <c r="AE92" s="120"/>
      <c r="AF92" s="121"/>
      <c r="AG92" s="121"/>
      <c r="AH92" s="120"/>
      <c r="AI92" s="121"/>
      <c r="AJ92" s="121"/>
      <c r="AK92" s="123"/>
      <c r="AL92" s="120"/>
      <c r="AM92" s="122"/>
      <c r="AN92" s="120"/>
    </row>
    <row r="93" spans="1:42" x14ac:dyDescent="0.3">
      <c r="A93" s="124" t="s">
        <v>95</v>
      </c>
      <c r="B93" s="113" t="e">
        <f>B26-B91</f>
        <v>#REF!</v>
      </c>
      <c r="C93" s="113" t="e">
        <f>C26-C91</f>
        <v>#REF!</v>
      </c>
      <c r="D93" s="113"/>
      <c r="E93" s="113" t="e">
        <f>E26-E91</f>
        <v>#REF!</v>
      </c>
      <c r="F93" s="113" t="e">
        <f>F26-F91</f>
        <v>#REF!</v>
      </c>
      <c r="G93" s="125"/>
      <c r="H93" s="113" t="e">
        <f>H26-H91</f>
        <v>#REF!</v>
      </c>
      <c r="I93" s="113">
        <f>I26-I91</f>
        <v>-189675539.20285213</v>
      </c>
      <c r="J93" s="113"/>
      <c r="K93" s="113">
        <f>K26-K91</f>
        <v>-101387906</v>
      </c>
      <c r="L93" s="113">
        <f>L26-L91</f>
        <v>80438394</v>
      </c>
      <c r="M93" s="113"/>
      <c r="N93" s="113">
        <f>N26-N91</f>
        <v>9436451</v>
      </c>
      <c r="O93" s="113">
        <f>O26-O91</f>
        <v>0</v>
      </c>
      <c r="P93" s="113"/>
      <c r="Q93" s="113">
        <f>Q26-Q91</f>
        <v>4806085.5</v>
      </c>
      <c r="R93" s="113">
        <f>R26-R91</f>
        <v>0</v>
      </c>
      <c r="S93" s="113"/>
      <c r="T93" s="113">
        <f>T26-T91</f>
        <v>7403606</v>
      </c>
      <c r="U93" s="113">
        <f>U26-U91</f>
        <v>0</v>
      </c>
      <c r="V93" s="113"/>
      <c r="W93" s="113">
        <f>W26-W91</f>
        <v>7403606</v>
      </c>
      <c r="X93" s="113">
        <f>X26-X91</f>
        <v>0</v>
      </c>
      <c r="Y93" s="117">
        <f>X93/W93</f>
        <v>0</v>
      </c>
      <c r="Z93" s="113">
        <f>Z26-Z91</f>
        <v>7403606</v>
      </c>
      <c r="AA93" s="113">
        <f>AA26-AA91</f>
        <v>0</v>
      </c>
      <c r="AB93" s="117">
        <f t="shared" si="23"/>
        <v>0</v>
      </c>
      <c r="AC93" s="113">
        <f>AC26-AC91</f>
        <v>7403606</v>
      </c>
      <c r="AD93" s="113">
        <f>AD26-AD91</f>
        <v>0</v>
      </c>
      <c r="AE93" s="117">
        <f>AD93/AC93</f>
        <v>0</v>
      </c>
      <c r="AF93" s="113">
        <f>AF26-AF91</f>
        <v>7403606</v>
      </c>
      <c r="AG93" s="113">
        <f>AG26-AG91</f>
        <v>0</v>
      </c>
      <c r="AH93" s="113"/>
      <c r="AI93" s="113">
        <f>AI26-AI91</f>
        <v>403606</v>
      </c>
      <c r="AJ93" s="113">
        <f>AJ26-AJ91</f>
        <v>0</v>
      </c>
      <c r="AK93" s="118"/>
      <c r="AL93" s="113" t="e">
        <f>AL26-AL91</f>
        <v>#REF!</v>
      </c>
      <c r="AM93" s="116"/>
      <c r="AN93" s="113"/>
    </row>
    <row r="94" spans="1:42" x14ac:dyDescent="0.3">
      <c r="B94" s="5"/>
      <c r="C94" s="127"/>
      <c r="E94" s="5"/>
      <c r="F94" s="127">
        <f>'[1]Relación Egresos'!$F$229</f>
        <v>304622804</v>
      </c>
      <c r="H94" s="128"/>
      <c r="I94" s="128">
        <v>269871435</v>
      </c>
      <c r="K94" s="126">
        <f>K91</f>
        <v>202369538</v>
      </c>
      <c r="L94" s="127">
        <v>12917754</v>
      </c>
      <c r="M94" s="127">
        <f>K94-L94</f>
        <v>189451784</v>
      </c>
      <c r="N94" s="5"/>
      <c r="O94" s="127"/>
      <c r="P94" s="5"/>
      <c r="Q94" s="5"/>
      <c r="R94" s="127"/>
      <c r="S94" s="5"/>
      <c r="T94" s="5"/>
      <c r="U94" s="127"/>
      <c r="W94" s="5"/>
      <c r="X94" s="127"/>
      <c r="Y94" s="5"/>
      <c r="Z94" s="5"/>
      <c r="AA94" s="127"/>
      <c r="AB94" s="5"/>
      <c r="AC94" s="5"/>
      <c r="AD94" s="127"/>
      <c r="AE94" s="5"/>
      <c r="AF94" s="5"/>
      <c r="AG94" s="127"/>
      <c r="AH94" s="5"/>
      <c r="AI94" s="5"/>
      <c r="AJ94" s="127"/>
      <c r="AK94" s="5"/>
      <c r="AL94" s="5"/>
      <c r="AM94" s="5"/>
      <c r="AN94" s="5"/>
    </row>
    <row r="95" spans="1:42" x14ac:dyDescent="0.3">
      <c r="A95" s="129" t="s">
        <v>37</v>
      </c>
      <c r="B95" s="5"/>
      <c r="C95" s="127" t="e">
        <f>'[1]Relación Egresos'!$F$110</f>
        <v>#REF!</v>
      </c>
      <c r="E95" s="5"/>
      <c r="F95" s="127">
        <f>F91-F94</f>
        <v>0</v>
      </c>
      <c r="H95" s="126"/>
      <c r="I95" s="224">
        <f>I91-I94</f>
        <v>0.33333337306976318</v>
      </c>
      <c r="J95" s="128"/>
      <c r="K95" s="5"/>
      <c r="L95" s="127"/>
      <c r="M95" s="228">
        <f>[1]Banco!$B$18</f>
        <v>208229860.27000001</v>
      </c>
      <c r="N95" s="5"/>
      <c r="O95" s="127"/>
      <c r="Q95" s="5"/>
      <c r="R95" s="127"/>
      <c r="T95" s="5"/>
      <c r="U95" s="127"/>
      <c r="V95" s="127"/>
      <c r="W95" s="5"/>
      <c r="X95" s="127"/>
      <c r="Y95" s="5"/>
      <c r="Z95" s="5"/>
      <c r="AA95" s="127"/>
      <c r="AB95" s="128"/>
      <c r="AC95" s="5"/>
      <c r="AD95" s="127"/>
      <c r="AE95" s="128"/>
      <c r="AF95" s="5"/>
      <c r="AG95" s="127"/>
      <c r="AH95" s="128"/>
      <c r="AI95" s="5"/>
      <c r="AJ95" s="127"/>
      <c r="AK95" s="5"/>
      <c r="AL95" s="5"/>
      <c r="AM95" s="5"/>
      <c r="AN95" s="5"/>
    </row>
    <row r="96" spans="1:42" x14ac:dyDescent="0.3">
      <c r="B96" s="5"/>
      <c r="C96" s="127"/>
      <c r="E96" s="5"/>
      <c r="F96" s="127"/>
      <c r="H96" s="5"/>
      <c r="I96" s="127"/>
      <c r="J96" s="127"/>
      <c r="K96" s="5"/>
      <c r="L96" s="127"/>
      <c r="M96" s="224">
        <f>M95-M94</f>
        <v>18778076.270000011</v>
      </c>
      <c r="N96" s="5"/>
      <c r="O96" s="127"/>
      <c r="Q96" s="5"/>
      <c r="R96" s="127"/>
      <c r="T96" s="5"/>
      <c r="U96" s="127"/>
      <c r="W96" s="5"/>
      <c r="X96" s="127"/>
      <c r="Y96" s="5"/>
      <c r="Z96" s="5"/>
      <c r="AA96" s="127"/>
      <c r="AB96" s="5"/>
      <c r="AC96" s="5"/>
      <c r="AD96" s="127"/>
      <c r="AE96" s="5"/>
      <c r="AF96" s="5"/>
      <c r="AG96" s="127"/>
      <c r="AH96" s="5"/>
      <c r="AI96" s="5"/>
      <c r="AJ96" s="127"/>
      <c r="AK96" s="5"/>
      <c r="AL96" s="5"/>
      <c r="AM96" s="126"/>
      <c r="AN96" s="5"/>
    </row>
    <row r="98" spans="3:22" x14ac:dyDescent="0.3">
      <c r="C98" s="223"/>
    </row>
    <row r="101" spans="3:22" x14ac:dyDescent="0.3">
      <c r="V101" s="126"/>
    </row>
    <row r="102" spans="3:22" x14ac:dyDescent="0.3">
      <c r="V102" s="128"/>
    </row>
    <row r="103" spans="3:22" x14ac:dyDescent="0.3">
      <c r="V103" s="128"/>
    </row>
    <row r="104" spans="3:22" x14ac:dyDescent="0.3">
      <c r="V104" s="128"/>
    </row>
  </sheetData>
  <mergeCells count="18">
    <mergeCell ref="AC11:AE11"/>
    <mergeCell ref="AF11:AH11"/>
    <mergeCell ref="B1:AL1"/>
    <mergeCell ref="A2:B2"/>
    <mergeCell ref="B3:AL3"/>
    <mergeCell ref="B4:AL4"/>
    <mergeCell ref="A11:A12"/>
    <mergeCell ref="B11:D11"/>
    <mergeCell ref="E11:G11"/>
    <mergeCell ref="H11:J11"/>
    <mergeCell ref="K11:M11"/>
    <mergeCell ref="N11:P11"/>
    <mergeCell ref="AI11:AK11"/>
    <mergeCell ref="AL11:AN11"/>
    <mergeCell ref="Q11:S11"/>
    <mergeCell ref="T11:V11"/>
    <mergeCell ref="W11:Y11"/>
    <mergeCell ref="Z11:AB11"/>
  </mergeCells>
  <printOptions horizontalCentered="1"/>
  <pageMargins left="0.54500000000000004" right="0" top="0" bottom="0.19685039370078741" header="0" footer="0"/>
  <pageSetup scale="62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1. Presupuesto</vt:lpstr>
      <vt:lpstr>2. Presupuesto</vt:lpstr>
      <vt:lpstr> 2.flujo de caja por mes (2)</vt:lpstr>
      <vt:lpstr>' 2.flujo de caja por mes (2)'!Área_de_impresión</vt:lpstr>
      <vt:lpstr>'1. Presupuesto'!Área_de_impresión</vt:lpstr>
      <vt:lpstr>'2. Presupuesto'!Área_de_impresión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Incide</dc:creator>
  <cp:lastModifiedBy>Gerencia Incide</cp:lastModifiedBy>
  <dcterms:created xsi:type="dcterms:W3CDTF">2019-10-15T20:35:18Z</dcterms:created>
  <dcterms:modified xsi:type="dcterms:W3CDTF">2024-02-19T13:41:26Z</dcterms:modified>
</cp:coreProperties>
</file>